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600" firstSheet="2" activeTab="5"/>
  </bookViews>
  <sheets>
    <sheet name="GOR2021-2022 " sheetId="9" r:id="rId1"/>
    <sheet name="GOR2022-2023" sheetId="4" r:id="rId2"/>
    <sheet name="Твърди горива 2022-2023" sheetId="5" r:id="rId3"/>
    <sheet name="Твърди горива 2021-2022 " sheetId="8" r:id="rId4"/>
    <sheet name="Течни горива" sheetId="6" r:id="rId5"/>
    <sheet name="Природен газ" sheetId="7" r:id="rId6"/>
  </sheets>
  <calcPr calcId="145621"/>
</workbook>
</file>

<file path=xl/calcChain.xml><?xml version="1.0" encoding="utf-8"?>
<calcChain xmlns="http://schemas.openxmlformats.org/spreadsheetml/2006/main">
  <c r="E24" i="8" l="1"/>
  <c r="C24" i="8"/>
  <c r="D24" i="8" s="1"/>
  <c r="E20" i="9" l="1"/>
  <c r="C20" i="9"/>
  <c r="D20" i="9" s="1"/>
  <c r="E20" i="4"/>
  <c r="C20" i="4"/>
  <c r="D20" i="4" s="1"/>
  <c r="C28" i="4" l="1"/>
  <c r="F20" i="4"/>
  <c r="G20" i="4" s="1"/>
  <c r="H20" i="4" l="1"/>
  <c r="G28" i="9" l="1"/>
  <c r="F24" i="9"/>
  <c r="G24" i="9" s="1"/>
  <c r="F23" i="9"/>
  <c r="H23" i="9" s="1"/>
  <c r="F22" i="9"/>
  <c r="G22" i="9" s="1"/>
  <c r="F21" i="9"/>
  <c r="G21" i="9" s="1"/>
  <c r="H18" i="9"/>
  <c r="H13" i="9"/>
  <c r="G13" i="9"/>
  <c r="F13" i="9"/>
  <c r="H12" i="9"/>
  <c r="G12" i="9"/>
  <c r="F12" i="9"/>
  <c r="H11" i="9"/>
  <c r="G11" i="9"/>
  <c r="F11" i="9"/>
  <c r="F10" i="9"/>
  <c r="H10" i="9" s="1"/>
  <c r="E9" i="9"/>
  <c r="C9" i="9"/>
  <c r="D9" i="9" s="1"/>
  <c r="C10" i="8"/>
  <c r="D10" i="8" s="1"/>
  <c r="E9" i="8"/>
  <c r="E10" i="8" s="1"/>
  <c r="E11" i="8" s="1"/>
  <c r="E12" i="8" s="1"/>
  <c r="E13" i="8" s="1"/>
  <c r="E14" i="8" s="1"/>
  <c r="E15" i="8" s="1"/>
  <c r="E16" i="8" s="1"/>
  <c r="E17" i="8" s="1"/>
  <c r="E18" i="8" s="1"/>
  <c r="E19" i="8" s="1"/>
  <c r="E20" i="8" s="1"/>
  <c r="E21" i="8" s="1"/>
  <c r="E22" i="8" s="1"/>
  <c r="E23" i="8" s="1"/>
  <c r="D9" i="8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H22" i="9" l="1"/>
  <c r="H24" i="9"/>
  <c r="H21" i="9"/>
  <c r="H28" i="9"/>
  <c r="G10" i="9"/>
  <c r="F9" i="9"/>
  <c r="G9" i="9" s="1"/>
  <c r="G23" i="9"/>
  <c r="C28" i="9"/>
  <c r="F20" i="9"/>
  <c r="C11" i="8"/>
  <c r="E28" i="9" l="1"/>
  <c r="H9" i="9"/>
  <c r="H20" i="9"/>
  <c r="G20" i="9"/>
  <c r="C12" i="8"/>
  <c r="D11" i="8"/>
  <c r="D12" i="8" l="1"/>
  <c r="C13" i="8"/>
  <c r="C14" i="8" s="1"/>
  <c r="C15" i="8" s="1"/>
  <c r="C14" i="5"/>
  <c r="C12" i="5"/>
  <c r="C16" i="8" l="1"/>
  <c r="C17" i="8" s="1"/>
  <c r="C18" i="8" s="1"/>
  <c r="C19" i="8" s="1"/>
  <c r="C20" i="8" s="1"/>
  <c r="C21" i="8" s="1"/>
  <c r="C22" i="8" s="1"/>
  <c r="C23" i="8" s="1"/>
  <c r="D15" i="8"/>
  <c r="D23" i="8" l="1"/>
  <c r="I30" i="7" l="1"/>
  <c r="H30" i="7"/>
  <c r="G30" i="7"/>
  <c r="F30" i="7"/>
  <c r="E30" i="7"/>
  <c r="D30" i="7"/>
  <c r="D36" i="7" l="1"/>
  <c r="O37" i="7"/>
  <c r="N37" i="7"/>
  <c r="M37" i="7"/>
  <c r="L37" i="7"/>
  <c r="K37" i="7"/>
  <c r="J37" i="7"/>
  <c r="I37" i="7"/>
  <c r="H37" i="7"/>
  <c r="G37" i="7"/>
  <c r="F37" i="7"/>
  <c r="E37" i="7"/>
  <c r="O36" i="7"/>
  <c r="N36" i="7"/>
  <c r="M36" i="7"/>
  <c r="L36" i="7"/>
  <c r="K36" i="7"/>
  <c r="J36" i="7"/>
  <c r="I36" i="7"/>
  <c r="H36" i="7"/>
  <c r="G36" i="7"/>
  <c r="F36" i="7"/>
  <c r="E36" i="7"/>
  <c r="E35" i="7"/>
  <c r="O35" i="7"/>
  <c r="O38" i="7"/>
  <c r="O39" i="7" s="1"/>
  <c r="N35" i="7"/>
  <c r="N38" i="7" s="1"/>
  <c r="N39" i="7" s="1"/>
  <c r="M35" i="7"/>
  <c r="M38" i="7" s="1"/>
  <c r="M39" i="7" s="1"/>
  <c r="L35" i="7"/>
  <c r="K35" i="7"/>
  <c r="K38" i="7"/>
  <c r="K39" i="7"/>
  <c r="J35" i="7"/>
  <c r="J38" i="7"/>
  <c r="J39" i="7"/>
  <c r="I35" i="7"/>
  <c r="H35" i="7"/>
  <c r="G35" i="7"/>
  <c r="F35" i="7"/>
  <c r="D37" i="7"/>
  <c r="D35" i="7"/>
  <c r="O18" i="7"/>
  <c r="N18" i="7"/>
  <c r="M18" i="7"/>
  <c r="L18" i="7"/>
  <c r="K18" i="7"/>
  <c r="J18" i="7"/>
  <c r="I18" i="7"/>
  <c r="H18" i="7"/>
  <c r="G18" i="7"/>
  <c r="F18" i="7"/>
  <c r="E18" i="7"/>
  <c r="O17" i="7"/>
  <c r="N17" i="7"/>
  <c r="M17" i="7"/>
  <c r="L17" i="7"/>
  <c r="K17" i="7"/>
  <c r="J17" i="7"/>
  <c r="I17" i="7"/>
  <c r="H17" i="7"/>
  <c r="G17" i="7"/>
  <c r="F17" i="7"/>
  <c r="E17" i="7"/>
  <c r="D18" i="7"/>
  <c r="D17" i="7"/>
  <c r="O16" i="7"/>
  <c r="N16" i="7"/>
  <c r="N19" i="7" s="1"/>
  <c r="N20" i="7" s="1"/>
  <c r="M16" i="7"/>
  <c r="L16" i="7"/>
  <c r="K16" i="7"/>
  <c r="J16" i="7"/>
  <c r="I16" i="7"/>
  <c r="H16" i="7"/>
  <c r="G16" i="7"/>
  <c r="F16" i="7"/>
  <c r="E16" i="7"/>
  <c r="E19" i="7" s="1"/>
  <c r="E20" i="7" s="1"/>
  <c r="D16" i="7"/>
  <c r="G19" i="7"/>
  <c r="G20" i="7" s="1"/>
  <c r="F19" i="7"/>
  <c r="F20" i="7" s="1"/>
  <c r="O11" i="7"/>
  <c r="N11" i="7"/>
  <c r="M11" i="7"/>
  <c r="L11" i="7"/>
  <c r="K11" i="7"/>
  <c r="J11" i="7"/>
  <c r="I11" i="7"/>
  <c r="H11" i="7"/>
  <c r="G11" i="7"/>
  <c r="F11" i="7"/>
  <c r="E11" i="7"/>
  <c r="D11" i="7"/>
  <c r="D43" i="7"/>
  <c r="D48" i="7" s="1"/>
  <c r="P32" i="7"/>
  <c r="P34" i="7" s="1"/>
  <c r="P26" i="7"/>
  <c r="P28" i="7" s="1"/>
  <c r="P13" i="7"/>
  <c r="P7" i="7"/>
  <c r="P10" i="7" s="1"/>
  <c r="D49" i="7"/>
  <c r="D51" i="7" s="1"/>
  <c r="G28" i="4"/>
  <c r="H18" i="4"/>
  <c r="H22" i="4"/>
  <c r="H11" i="4"/>
  <c r="H12" i="4"/>
  <c r="H13" i="4"/>
  <c r="G11" i="4"/>
  <c r="G12" i="4"/>
  <c r="G13" i="4"/>
  <c r="F24" i="4"/>
  <c r="G24" i="4" s="1"/>
  <c r="F23" i="4"/>
  <c r="G23" i="4" s="1"/>
  <c r="F22" i="4"/>
  <c r="G22" i="4" s="1"/>
  <c r="F21" i="4"/>
  <c r="H21" i="4" s="1"/>
  <c r="F11" i="4"/>
  <c r="F12" i="4"/>
  <c r="F13" i="4"/>
  <c r="E9" i="6"/>
  <c r="E10" i="6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C9" i="6"/>
  <c r="C10" i="6"/>
  <c r="D9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E9" i="5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D10" i="6"/>
  <c r="C11" i="6"/>
  <c r="C12" i="6" s="1"/>
  <c r="L38" i="7"/>
  <c r="L39" i="7"/>
  <c r="P14" i="7"/>
  <c r="D19" i="7"/>
  <c r="D20" i="7"/>
  <c r="H23" i="4" l="1"/>
  <c r="H24" i="4"/>
  <c r="H28" i="4"/>
  <c r="C13" i="6"/>
  <c r="D12" i="6"/>
  <c r="D11" i="6"/>
  <c r="K19" i="7"/>
  <c r="K20" i="7" s="1"/>
  <c r="G21" i="4"/>
  <c r="H38" i="7"/>
  <c r="H39" i="7" s="1"/>
  <c r="P33" i="7"/>
  <c r="P29" i="7"/>
  <c r="P27" i="7"/>
  <c r="P31" i="7" s="1"/>
  <c r="P37" i="7" s="1"/>
  <c r="G38" i="7"/>
  <c r="G39" i="7" s="1"/>
  <c r="I38" i="7"/>
  <c r="I39" i="7" s="1"/>
  <c r="F38" i="7"/>
  <c r="F39" i="7" s="1"/>
  <c r="E38" i="7"/>
  <c r="E39" i="7" s="1"/>
  <c r="D44" i="7"/>
  <c r="D46" i="7" s="1"/>
  <c r="D54" i="7" s="1"/>
  <c r="D38" i="7"/>
  <c r="D39" i="7" s="1"/>
  <c r="I19" i="7"/>
  <c r="I20" i="7" s="1"/>
  <c r="D50" i="7"/>
  <c r="P15" i="7"/>
  <c r="H19" i="7"/>
  <c r="H20" i="7" s="1"/>
  <c r="P8" i="7"/>
  <c r="P12" i="7" s="1"/>
  <c r="D45" i="7"/>
  <c r="P9" i="7"/>
  <c r="O19" i="7"/>
  <c r="O20" i="7" s="1"/>
  <c r="M19" i="7"/>
  <c r="M20" i="7" s="1"/>
  <c r="J19" i="7"/>
  <c r="J20" i="7" s="1"/>
  <c r="L19" i="7"/>
  <c r="L20" i="7" s="1"/>
  <c r="D9" i="5"/>
  <c r="C10" i="5"/>
  <c r="C14" i="6" l="1"/>
  <c r="D13" i="6"/>
  <c r="P30" i="7"/>
  <c r="P35" i="7"/>
  <c r="P36" i="7"/>
  <c r="P39" i="7"/>
  <c r="D47" i="7"/>
  <c r="D52" i="7"/>
  <c r="D53" i="7"/>
  <c r="P17" i="7"/>
  <c r="P16" i="7"/>
  <c r="P18" i="7"/>
  <c r="P11" i="7"/>
  <c r="D56" i="7"/>
  <c r="P20" i="7"/>
  <c r="C11" i="5"/>
  <c r="D10" i="5"/>
  <c r="D14" i="6" l="1"/>
  <c r="C15" i="6"/>
  <c r="P38" i="7"/>
  <c r="D55" i="7"/>
  <c r="P19" i="7"/>
  <c r="D11" i="5"/>
  <c r="C16" i="6" l="1"/>
  <c r="D15" i="6"/>
  <c r="D12" i="5"/>
  <c r="C13" i="5"/>
  <c r="C17" i="6" l="1"/>
  <c r="D16" i="6"/>
  <c r="C18" i="6" l="1"/>
  <c r="D17" i="6"/>
  <c r="C15" i="5"/>
  <c r="C19" i="6" l="1"/>
  <c r="D18" i="6"/>
  <c r="D15" i="5"/>
  <c r="C16" i="5"/>
  <c r="D19" i="6" l="1"/>
  <c r="C20" i="6"/>
  <c r="C17" i="5"/>
  <c r="C21" i="6" l="1"/>
  <c r="D20" i="6"/>
  <c r="C18" i="5"/>
  <c r="C22" i="6" l="1"/>
  <c r="D21" i="6"/>
  <c r="C19" i="5"/>
  <c r="C20" i="5" s="1"/>
  <c r="D22" i="6" l="1"/>
  <c r="C23" i="6"/>
  <c r="D23" i="6" s="1"/>
  <c r="C21" i="5"/>
  <c r="C22" i="5" l="1"/>
  <c r="C23" i="5" l="1"/>
  <c r="C24" i="5" l="1"/>
  <c r="D23" i="5"/>
  <c r="F10" i="4"/>
  <c r="H10" i="4" s="1"/>
  <c r="E9" i="4"/>
  <c r="C9" i="4"/>
  <c r="D9" i="4" l="1"/>
  <c r="D24" i="5"/>
  <c r="E25" i="5"/>
  <c r="G10" i="4"/>
  <c r="F9" i="4"/>
  <c r="E28" i="4" l="1"/>
  <c r="G9" i="4"/>
  <c r="H9" i="4"/>
</calcChain>
</file>

<file path=xl/sharedStrings.xml><?xml version="1.0" encoding="utf-8"?>
<sst xmlns="http://schemas.openxmlformats.org/spreadsheetml/2006/main" count="390" uniqueCount="111">
  <si>
    <t xml:space="preserve">Дружество :   </t>
  </si>
  <si>
    <t>Приложение №2</t>
  </si>
  <si>
    <t>ПАРАМЕТРИ</t>
  </si>
  <si>
    <t>Вид</t>
  </si>
  <si>
    <t>количество</t>
  </si>
  <si>
    <t>калоричност</t>
  </si>
  <si>
    <t>обща сума</t>
  </si>
  <si>
    <t>цена на</t>
  </si>
  <si>
    <t>цена на натур.</t>
  </si>
  <si>
    <t>склад</t>
  </si>
  <si>
    <t>натур.гориво</t>
  </si>
  <si>
    <t>условно гориво</t>
  </si>
  <si>
    <t>гориво при</t>
  </si>
  <si>
    <t>/без ДДС/</t>
  </si>
  <si>
    <t>при 7 000 kcal/kg</t>
  </si>
  <si>
    <t>t</t>
  </si>
  <si>
    <t>kcal/kg</t>
  </si>
  <si>
    <t>лв.</t>
  </si>
  <si>
    <t>лв./t</t>
  </si>
  <si>
    <r>
      <t>лв./t</t>
    </r>
    <r>
      <rPr>
        <vertAlign val="subscript"/>
        <sz val="10"/>
        <rFont val="Times New Roman"/>
        <family val="1"/>
        <charset val="204"/>
      </rPr>
      <t>cf</t>
    </r>
  </si>
  <si>
    <t>общо</t>
  </si>
  <si>
    <t>по договор</t>
  </si>
  <si>
    <t>ОБЩО от всички видове</t>
  </si>
  <si>
    <t>Гориво за ценовия период (количество, калоричност, сресдно претеглена цена )</t>
  </si>
  <si>
    <t xml:space="preserve">Главен счетоводител: </t>
  </si>
  <si>
    <t>Изпълнителен директор:</t>
  </si>
  <si>
    <t>подпис и печат</t>
  </si>
  <si>
    <t xml:space="preserve">Дружество: </t>
  </si>
  <si>
    <t>Твърдо говиво</t>
  </si>
  <si>
    <t>Налично на склад</t>
  </si>
  <si>
    <t>ПРИХОД за Месец</t>
  </si>
  <si>
    <t>РАЗХОД за Месец</t>
  </si>
  <si>
    <t>Количество</t>
  </si>
  <si>
    <t xml:space="preserve">Калоричност </t>
  </si>
  <si>
    <t>Стойност</t>
  </si>
  <si>
    <t>месец</t>
  </si>
  <si>
    <t>Дата</t>
  </si>
  <si>
    <t>BGN</t>
  </si>
  <si>
    <t>31.12.2020 г.</t>
  </si>
  <si>
    <t>31.01.2021 г.</t>
  </si>
  <si>
    <t>28.02.2021 г.</t>
  </si>
  <si>
    <t>31.03.2021 г.</t>
  </si>
  <si>
    <t>30.04.2021 г.</t>
  </si>
  <si>
    <t>31.05.2021 г.</t>
  </si>
  <si>
    <t>30.06.2021 г.</t>
  </si>
  <si>
    <t>31.07.2021 г.</t>
  </si>
  <si>
    <t>31.08.2021 г.</t>
  </si>
  <si>
    <t>30.09.2021 г.</t>
  </si>
  <si>
    <t>31.10.2021 г.</t>
  </si>
  <si>
    <t>30.11.2021 г.</t>
  </si>
  <si>
    <t>31.12.2021 г.</t>
  </si>
  <si>
    <t>31.01.2022 г.</t>
  </si>
  <si>
    <t>29.02.2022 г.</t>
  </si>
  <si>
    <t>31.03.2022 г.</t>
  </si>
  <si>
    <t xml:space="preserve">Ръководител: </t>
  </si>
  <si>
    <t>Течно гориво</t>
  </si>
  <si>
    <t>Средна цена на природен газ за отчетен период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</si>
  <si>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</si>
  <si>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</si>
  <si>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</si>
  <si>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</si>
  <si>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</si>
  <si>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</si>
  <si>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</si>
  <si>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</si>
  <si>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</si>
  <si>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</si>
  <si>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</si>
  <si>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</si>
  <si>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Общо:</t>
  </si>
  <si>
    <t>MWh</t>
  </si>
  <si>
    <t xml:space="preserve">Цена на пр. газ </t>
  </si>
  <si>
    <t>BGN/MWh</t>
  </si>
  <si>
    <t xml:space="preserve">Цена за пренос </t>
  </si>
  <si>
    <t>Цена за достъп</t>
  </si>
  <si>
    <t>Цена + достъп + пренос</t>
  </si>
  <si>
    <t>Коефициент на преобразуване</t>
  </si>
  <si>
    <r>
      <t>kWh/m</t>
    </r>
    <r>
      <rPr>
        <vertAlign val="superscript"/>
        <sz val="9"/>
        <rFont val="Times New Roman"/>
        <family val="1"/>
        <charset val="204"/>
      </rPr>
      <t>3</t>
    </r>
  </si>
  <si>
    <r>
      <t>k nm</t>
    </r>
    <r>
      <rPr>
        <vertAlign val="superscript"/>
        <sz val="9"/>
        <rFont val="Times New Roman"/>
        <family val="1"/>
      </rPr>
      <t>3</t>
    </r>
  </si>
  <si>
    <t>Долна калоричност</t>
  </si>
  <si>
    <r>
      <t>kcal/ nm</t>
    </r>
    <r>
      <rPr>
        <vertAlign val="superscript"/>
        <sz val="9"/>
        <rFont val="Times New Roman"/>
        <family val="1"/>
      </rPr>
      <t>3</t>
    </r>
  </si>
  <si>
    <t>Горна калоричност</t>
  </si>
  <si>
    <r>
      <t>BGN/k nm</t>
    </r>
    <r>
      <rPr>
        <vertAlign val="superscript"/>
        <sz val="9"/>
        <rFont val="Times New Roman"/>
        <family val="1"/>
      </rPr>
      <t>3</t>
    </r>
  </si>
  <si>
    <t xml:space="preserve">Обща сума </t>
  </si>
  <si>
    <t>kBGN</t>
  </si>
  <si>
    <t>Забележка: В цените на природния газ не се включват платени суми за акциз, санкции и неустойки</t>
  </si>
  <si>
    <t>период</t>
  </si>
  <si>
    <t>01.07.2021-30.06.2022</t>
  </si>
  <si>
    <t>Обща сума</t>
  </si>
  <si>
    <t>* - цената на пр. газ е без ДДС</t>
  </si>
  <si>
    <t>28.02.2022 г.</t>
  </si>
  <si>
    <t>Дружество :   "ТЕЦ Горна Оряховица"ЕАД</t>
  </si>
  <si>
    <t>/Р. Иванов/</t>
  </si>
  <si>
    <t>/А. Ботов/</t>
  </si>
  <si>
    <t>230$ + 20 лв/т транспортни</t>
  </si>
  <si>
    <t>/Анатолий Ботов/</t>
  </si>
  <si>
    <t>/Росен Иванов/</t>
  </si>
  <si>
    <t xml:space="preserve">  "ТЕЦ Горна Оряховица"ЕАД</t>
  </si>
  <si>
    <t>"ТЕЦ Горна Оряховица" ЕАД</t>
  </si>
  <si>
    <t>4. Оставащи количества по Договор №     /   .  .20   г.</t>
  </si>
  <si>
    <t>1. Складова наличност към 29.03.2022 г.</t>
  </si>
  <si>
    <t>Курс на щатски долар към 29.03.2022 г. - 1.78354</t>
  </si>
  <si>
    <t>1. Договор от 09.02. 2022   г.</t>
  </si>
  <si>
    <t>3.Договор от 16.03.2022   г.</t>
  </si>
  <si>
    <t>2. Анекс  от 18.02.2022 към Договор от 17.02. 2022   г.</t>
  </si>
  <si>
    <t xml:space="preserve">                                 СРЕДНА ЦЕНА НА ВЪГЛИЩАТА ЗА 2021 Г. ПО СКЛАДОВА НАЛИЧНОСТ КЪМ 29.03.2022 Г. И  ПО  СКЛЮЧЕНИ ДОГОВОРИ </t>
  </si>
  <si>
    <t xml:space="preserve">                                 СРЕДНА ЦЕНА НА ВЪГЛИЩАТА ЗА ценови период  2021-2022 Г. ПО СКЛАДОВА НАЛИЧНОСТ КЪМ 29.03.2022 Г. И  ПО  СКЛЮЧЕНИ ДОГОВОРИ </t>
  </si>
  <si>
    <t>1. Договор от ………...  г.</t>
  </si>
  <si>
    <t>29.03.2022 г.</t>
  </si>
  <si>
    <t>От 01.07.2021 г. до 29.03.2021г. са изгорени 12 870,870 т на стойност 2 661 747,43 лв. От 01.04.2022 г. по прогноза ще бъдат изгорени 10 092 т*343,80 лв =</t>
  </si>
  <si>
    <r>
      <t xml:space="preserve">3 469629,6 лв. Общо за периода ще се изразходват 22 962 т на стойност 6 131 376 лв. при средна цена </t>
    </r>
    <r>
      <rPr>
        <b/>
        <sz val="10"/>
        <rFont val="Arial"/>
        <family val="2"/>
        <charset val="204"/>
      </rPr>
      <t>267,022</t>
    </r>
    <r>
      <rPr>
        <sz val="10"/>
        <rFont val="Arial"/>
        <family val="2"/>
        <charset val="204"/>
      </rPr>
      <t xml:space="preserve"> лв/т.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</si>
</sst>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&quot; kcal/kg&quot;"/>
    <numFmt numFmtId="165" formatCode="#,##0.000"/>
    <numFmt numFmtId="166" formatCode="0.000"/>
    <numFmt numFmtId="167" formatCode="0_)"/>
  </numFmts>
  <fonts count="22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vertAlign val="superscript"/>
      <sz val="9"/>
      <name val="Times New Roman"/>
      <family val="1"/>
    </font>
    <font>
      <sz val="10"/>
      <color indexed="10"/>
      <name val="Arial"/>
      <family val="2"/>
    </font>
    <font>
      <b/>
      <sz val="11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charset val="204"/>
    </font>
    <font>
      <sz val="12"/>
      <name val="Helv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3" fillId="0" borderId="0"/>
    <xf numFmtId="0" fontId="3" fillId="0" borderId="0"/>
    <xf numFmtId="167" fontId="21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3" fontId="0" fillId="0" borderId="2" xfId="0" applyNumberForma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/>
      <protection hidden="1"/>
    </xf>
    <xf numFmtId="3" fontId="0" fillId="0" borderId="1" xfId="0" applyNumberFormat="1" applyBorder="1" applyAlignment="1" applyProtection="1">
      <alignment horizontal="right" vertical="center"/>
      <protection hidden="1"/>
    </xf>
    <xf numFmtId="3" fontId="0" fillId="0" borderId="1" xfId="0" applyNumberFormat="1" applyBorder="1" applyAlignment="1" applyProtection="1">
      <alignment horizontal="center" vertical="center"/>
      <protection hidden="1"/>
    </xf>
    <xf numFmtId="4" fontId="0" fillId="0" borderId="1" xfId="0" applyNumberFormat="1" applyBorder="1" applyAlignment="1" applyProtection="1">
      <alignment horizontal="right" vertical="center"/>
      <protection hidden="1"/>
    </xf>
    <xf numFmtId="3" fontId="0" fillId="0" borderId="0" xfId="0" applyNumberFormat="1" applyProtection="1">
      <protection hidden="1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right"/>
    </xf>
    <xf numFmtId="3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distributed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Border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2" fontId="4" fillId="0" borderId="0" xfId="0" applyNumberFormat="1" applyFont="1" applyFill="1" applyBorder="1"/>
    <xf numFmtId="2" fontId="4" fillId="0" borderId="0" xfId="0" applyNumberFormat="1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distributed"/>
    </xf>
    <xf numFmtId="0" fontId="4" fillId="0" borderId="1" xfId="0" applyFont="1" applyBorder="1"/>
    <xf numFmtId="2" fontId="4" fillId="0" borderId="1" xfId="0" applyNumberFormat="1" applyFont="1" applyBorder="1"/>
    <xf numFmtId="0" fontId="4" fillId="0" borderId="0" xfId="0" applyFont="1" applyBorder="1" applyAlignment="1">
      <alignment horizontal="left" vertical="distributed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5" xfId="0" applyNumberFormat="1" applyFont="1" applyFill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right"/>
    </xf>
    <xf numFmtId="0" fontId="4" fillId="0" borderId="0" xfId="1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15" fillId="0" borderId="3" xfId="0" applyFont="1" applyBorder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16" fillId="0" borderId="9" xfId="0" applyFont="1" applyBorder="1" applyAlignment="1">
      <alignment horizontal="center" vertical="center" wrapText="1"/>
    </xf>
    <xf numFmtId="0" fontId="8" fillId="0" borderId="9" xfId="1" applyFont="1" applyBorder="1" applyAlignment="1" applyProtection="1">
      <alignment horizontal="center" vertical="center"/>
    </xf>
    <xf numFmtId="0" fontId="0" fillId="0" borderId="0" xfId="0" applyFill="1" applyBorder="1" applyAlignment="1">
      <alignment vertical="center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6" fillId="0" borderId="1" xfId="0" applyFont="1" applyBorder="1"/>
    <xf numFmtId="0" fontId="0" fillId="0" borderId="1" xfId="0" applyBorder="1"/>
    <xf numFmtId="3" fontId="0" fillId="3" borderId="1" xfId="0" applyNumberFormat="1" applyFill="1" applyBorder="1"/>
    <xf numFmtId="3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3" fillId="0" borderId="1" xfId="0" applyFont="1" applyBorder="1" applyAlignment="1" applyProtection="1">
      <alignment horizontal="right" vertical="center"/>
      <protection hidden="1"/>
    </xf>
    <xf numFmtId="2" fontId="0" fillId="0" borderId="1" xfId="0" applyNumberFormat="1" applyFill="1" applyBorder="1" applyAlignment="1">
      <alignment vertical="center"/>
    </xf>
    <xf numFmtId="0" fontId="10" fillId="0" borderId="0" xfId="0" applyFont="1"/>
    <xf numFmtId="0" fontId="16" fillId="0" borderId="0" xfId="0" applyFont="1" applyBorder="1" applyAlignment="1">
      <alignment horizontal="center" vertical="center" wrapText="1"/>
    </xf>
    <xf numFmtId="0" fontId="8" fillId="0" borderId="0" xfId="1" applyFont="1" applyBorder="1" applyAlignment="1" applyProtection="1">
      <alignment horizontal="center" vertical="center"/>
    </xf>
    <xf numFmtId="4" fontId="0" fillId="4" borderId="1" xfId="0" applyNumberFormat="1" applyFill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8" fillId="0" borderId="0" xfId="1" applyFon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distributed"/>
    </xf>
    <xf numFmtId="0" fontId="0" fillId="0" borderId="1" xfId="0" applyBorder="1" applyAlignment="1" applyProtection="1">
      <alignment horizontal="center" vertical="center"/>
      <protection hidden="1"/>
    </xf>
    <xf numFmtId="3" fontId="1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165" fontId="0" fillId="3" borderId="1" xfId="0" applyNumberFormat="1" applyFill="1" applyBorder="1" applyAlignment="1">
      <alignment vertical="center"/>
    </xf>
    <xf numFmtId="165" fontId="0" fillId="2" borderId="1" xfId="0" applyNumberFormat="1" applyFill="1" applyBorder="1" applyAlignment="1" applyProtection="1">
      <alignment horizontal="center" vertical="center"/>
      <protection locked="0"/>
    </xf>
    <xf numFmtId="165" fontId="0" fillId="5" borderId="1" xfId="0" applyNumberFormat="1" applyFill="1" applyBorder="1" applyAlignment="1" applyProtection="1">
      <alignment horizontal="right" vertical="center"/>
      <protection hidden="1"/>
    </xf>
    <xf numFmtId="165" fontId="0" fillId="0" borderId="1" xfId="0" applyNumberFormat="1" applyBorder="1" applyAlignment="1" applyProtection="1">
      <alignment horizontal="right" vertical="center"/>
      <protection hidden="1"/>
    </xf>
    <xf numFmtId="2" fontId="0" fillId="0" borderId="0" xfId="0" applyNumberFormat="1"/>
    <xf numFmtId="2" fontId="0" fillId="3" borderId="0" xfId="0" applyNumberFormat="1" applyFill="1"/>
    <xf numFmtId="166" fontId="0" fillId="0" borderId="0" xfId="0" applyNumberFormat="1" applyProtection="1">
      <protection hidden="1"/>
    </xf>
    <xf numFmtId="0" fontId="19" fillId="0" borderId="0" xfId="0" applyFont="1"/>
    <xf numFmtId="4" fontId="4" fillId="0" borderId="0" xfId="0" applyNumberFormat="1" applyFont="1" applyBorder="1" applyAlignment="1">
      <alignment horizontal="center" vertical="distributed"/>
    </xf>
    <xf numFmtId="0" fontId="4" fillId="0" borderId="0" xfId="0" applyFont="1" applyFill="1" applyBorder="1" applyAlignment="1">
      <alignment horizontal="left" vertical="distributed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>
      <alignment horizontal="center" vertical="distributed"/>
    </xf>
    <xf numFmtId="0" fontId="0" fillId="0" borderId="0" xfId="0"/>
    <xf numFmtId="0" fontId="0" fillId="0" borderId="0" xfId="0" applyProtection="1">
      <protection hidden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0" xfId="0" applyFont="1"/>
    <xf numFmtId="0" fontId="0" fillId="2" borderId="0" xfId="0" applyFill="1" applyAlignment="1" applyProtection="1">
      <protection locked="0"/>
    </xf>
    <xf numFmtId="0" fontId="0" fillId="0" borderId="0" xfId="0" applyFill="1" applyAlignment="1" applyProtection="1">
      <protection locked="0"/>
    </xf>
    <xf numFmtId="165" fontId="0" fillId="0" borderId="0" xfId="0" applyNumberFormat="1"/>
    <xf numFmtId="2" fontId="0" fillId="3" borderId="0" xfId="0" applyNumberFormat="1" applyFill="1" applyAlignment="1">
      <alignment horizontal="center"/>
    </xf>
    <xf numFmtId="4" fontId="0" fillId="0" borderId="0" xfId="0" applyNumberFormat="1"/>
    <xf numFmtId="165" fontId="4" fillId="2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>
      <alignment horizontal="left" vertical="distributed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0" fillId="2" borderId="0" xfId="0" applyFill="1" applyAlignment="1" applyProtection="1">
      <alignment horizontal="left"/>
      <protection locked="0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center"/>
    </xf>
    <xf numFmtId="3" fontId="15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2" fontId="18" fillId="0" borderId="12" xfId="0" applyNumberFormat="1" applyFont="1" applyBorder="1" applyAlignment="1">
      <alignment vertical="center"/>
    </xf>
    <xf numFmtId="2" fontId="2" fillId="0" borderId="13" xfId="0" applyNumberFormat="1" applyFont="1" applyBorder="1" applyAlignment="1">
      <alignment vertical="center"/>
    </xf>
    <xf numFmtId="2" fontId="2" fillId="0" borderId="12" xfId="0" applyNumberFormat="1" applyFont="1" applyBorder="1" applyAlignment="1">
      <alignment vertical="center"/>
    </xf>
    <xf numFmtId="0" fontId="0" fillId="0" borderId="13" xfId="0" applyBorder="1" applyAlignment="1">
      <alignment vertical="center"/>
    </xf>
    <xf numFmtId="0" fontId="11" fillId="0" borderId="0" xfId="1" applyFont="1" applyBorder="1" applyAlignment="1" applyProtection="1">
      <alignment horizontal="justify" vertical="center"/>
    </xf>
    <xf numFmtId="0" fontId="0" fillId="0" borderId="0" xfId="0" applyAlignment="1">
      <alignment vertical="center"/>
    </xf>
    <xf numFmtId="4" fontId="15" fillId="0" borderId="1" xfId="0" applyNumberFormat="1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4" fontId="15" fillId="0" borderId="12" xfId="0" applyNumberFormat="1" applyFont="1" applyBorder="1" applyAlignment="1">
      <alignment vertical="center"/>
    </xf>
  </cellXfs>
  <cellStyles count="7">
    <cellStyle name="Normal 2" xfId="1"/>
    <cellStyle name="Normal 2 2" xfId="3"/>
    <cellStyle name="Normal 2 3" xfId="2"/>
    <cellStyle name="Standard_A" xfId="4"/>
    <cellStyle name="Нормален" xfId="0" builtinId="0"/>
    <cellStyle name="Процент 2" xfId="5"/>
    <cellStyle name="Процент 3" xfId="6"/>
  </cellStyles>
  <dxfs count="0"/>
  <tableStyles count="0" defaultTableStyle="TableStyleMedium9" defaultPivotStyle="PivotStyleLight16"/>
  <colors>
    <mruColors>
      <color rgb="FFFFFFCC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workbookViewId="0">
      <selection activeCell="F25" sqref="F25:H27"/>
    </sheetView>
  </sheetViews>
  <sheetFormatPr defaultColWidth="0" defaultRowHeight="12.75" zeroHeight="1" x14ac:dyDescent="0.2"/>
  <cols>
    <col min="1" max="1" width="49.5703125" style="17" customWidth="1"/>
    <col min="2" max="2" width="6.85546875" style="17" customWidth="1"/>
    <col min="3" max="3" width="11.85546875" style="17" customWidth="1"/>
    <col min="4" max="5" width="12.42578125" style="17" customWidth="1"/>
    <col min="6" max="6" width="12.85546875" style="17" customWidth="1"/>
    <col min="7" max="7" width="17.42578125" style="17" bestFit="1" customWidth="1"/>
    <col min="8" max="8" width="15.42578125" style="17" customWidth="1"/>
    <col min="9" max="9" width="9.140625" style="17" customWidth="1"/>
    <col min="10" max="16384" width="0" style="17" hidden="1"/>
  </cols>
  <sheetData>
    <row r="1" spans="1:8" x14ac:dyDescent="0.2">
      <c r="A1" s="15" t="s">
        <v>0</v>
      </c>
      <c r="B1" s="15"/>
      <c r="C1" s="16" t="s">
        <v>98</v>
      </c>
      <c r="H1" s="17" t="s">
        <v>1</v>
      </c>
    </row>
    <row r="2" spans="1:8" x14ac:dyDescent="0.2"/>
    <row r="3" spans="1:8" x14ac:dyDescent="0.2">
      <c r="A3" s="117" t="s">
        <v>106</v>
      </c>
      <c r="B3" s="117"/>
      <c r="C3" s="117"/>
      <c r="D3" s="117"/>
      <c r="E3" s="117"/>
      <c r="F3" s="117"/>
      <c r="G3" s="117"/>
      <c r="H3" s="117"/>
    </row>
    <row r="4" spans="1:8" x14ac:dyDescent="0.2"/>
    <row r="5" spans="1:8" x14ac:dyDescent="0.2">
      <c r="A5" s="118" t="s">
        <v>2</v>
      </c>
      <c r="B5" s="118" t="s">
        <v>3</v>
      </c>
      <c r="C5" s="118" t="s">
        <v>4</v>
      </c>
      <c r="D5" s="118" t="s">
        <v>5</v>
      </c>
      <c r="E5" s="34" t="s">
        <v>6</v>
      </c>
      <c r="F5" s="18" t="s">
        <v>7</v>
      </c>
      <c r="G5" s="18" t="s">
        <v>7</v>
      </c>
      <c r="H5" s="18" t="s">
        <v>8</v>
      </c>
    </row>
    <row r="6" spans="1:8" x14ac:dyDescent="0.2">
      <c r="A6" s="118"/>
      <c r="B6" s="118"/>
      <c r="C6" s="118"/>
      <c r="D6" s="118"/>
      <c r="E6" s="35" t="s">
        <v>9</v>
      </c>
      <c r="F6" s="19" t="s">
        <v>10</v>
      </c>
      <c r="G6" s="19" t="s">
        <v>11</v>
      </c>
      <c r="H6" s="19" t="s">
        <v>12</v>
      </c>
    </row>
    <row r="7" spans="1:8" x14ac:dyDescent="0.2">
      <c r="A7" s="118"/>
      <c r="B7" s="118"/>
      <c r="C7" s="118"/>
      <c r="D7" s="118"/>
      <c r="E7" s="36" t="s">
        <v>13</v>
      </c>
      <c r="F7" s="20" t="s">
        <v>13</v>
      </c>
      <c r="G7" s="20" t="s">
        <v>14</v>
      </c>
      <c r="H7" s="21">
        <v>5308</v>
      </c>
    </row>
    <row r="8" spans="1:8" ht="14.25" x14ac:dyDescent="0.25">
      <c r="A8" s="37"/>
      <c r="B8" s="102"/>
      <c r="C8" s="37" t="s">
        <v>15</v>
      </c>
      <c r="D8" s="37" t="s">
        <v>16</v>
      </c>
      <c r="E8" s="37" t="s">
        <v>17</v>
      </c>
      <c r="F8" s="37" t="s">
        <v>18</v>
      </c>
      <c r="G8" s="37" t="s">
        <v>19</v>
      </c>
      <c r="H8" s="37" t="s">
        <v>18</v>
      </c>
    </row>
    <row r="9" spans="1:8" x14ac:dyDescent="0.2">
      <c r="A9" s="119" t="s">
        <v>100</v>
      </c>
      <c r="B9" s="38" t="s">
        <v>20</v>
      </c>
      <c r="C9" s="48">
        <f>SUM(C10:C13)</f>
        <v>9854.902</v>
      </c>
      <c r="D9" s="42">
        <f>IF(C9=0,0,SUMPRODUCT(C10:C13,D10:D13)/C9)</f>
        <v>5308</v>
      </c>
      <c r="E9" s="47">
        <f>SUM(E10:E13)</f>
        <v>3219511.27</v>
      </c>
      <c r="F9" s="40">
        <f>IF(C9=0,0,E9/C9)</f>
        <v>326.69135319661223</v>
      </c>
      <c r="G9" s="45">
        <f>IF($D9=0,0,$F9/$D9*7000)</f>
        <v>430.82883805129723</v>
      </c>
      <c r="H9" s="45">
        <f>IF($D9=0,0,$F9/$D9*$H$7)</f>
        <v>326.69135319661223</v>
      </c>
    </row>
    <row r="10" spans="1:8" x14ac:dyDescent="0.2">
      <c r="A10" s="120"/>
      <c r="B10" s="38">
        <v>1</v>
      </c>
      <c r="C10" s="49">
        <v>9854.902</v>
      </c>
      <c r="D10" s="24">
        <v>5308</v>
      </c>
      <c r="E10" s="46">
        <v>3219511.27</v>
      </c>
      <c r="F10" s="40">
        <f>IF(C10=0,0,E10/C10)</f>
        <v>326.69135319661223</v>
      </c>
      <c r="G10" s="45">
        <f>IF($D10=0,0,$F10/$D10*7000)</f>
        <v>430.82883805129723</v>
      </c>
      <c r="H10" s="45">
        <f>IF($D10=0,0,$F10/$D10*$H$7)</f>
        <v>326.69135319661223</v>
      </c>
    </row>
    <row r="11" spans="1:8" x14ac:dyDescent="0.2">
      <c r="A11" s="120"/>
      <c r="B11" s="38">
        <v>2</v>
      </c>
      <c r="C11" s="49"/>
      <c r="D11" s="24"/>
      <c r="E11" s="46"/>
      <c r="F11" s="40">
        <f>IF(C11=0,0,E11/C11)</f>
        <v>0</v>
      </c>
      <c r="G11" s="45">
        <f>IF($D11=0,0,$F11/$D11*7000)</f>
        <v>0</v>
      </c>
      <c r="H11" s="45">
        <f>IF($D11=0,0,$F11/$D11*$H$7)</f>
        <v>0</v>
      </c>
    </row>
    <row r="12" spans="1:8" x14ac:dyDescent="0.2">
      <c r="A12" s="120"/>
      <c r="B12" s="38">
        <v>3</v>
      </c>
      <c r="C12" s="49"/>
      <c r="D12" s="24"/>
      <c r="E12" s="46"/>
      <c r="F12" s="40">
        <f>IF(C12=0,0,E12/C12)</f>
        <v>0</v>
      </c>
      <c r="G12" s="45">
        <f>IF($D12=0,0,$F12/$D12*7000)</f>
        <v>0</v>
      </c>
      <c r="H12" s="45">
        <f>IF($D12=0,0,$F12/$D12*$H$7)</f>
        <v>0</v>
      </c>
    </row>
    <row r="13" spans="1:8" x14ac:dyDescent="0.2">
      <c r="A13" s="121"/>
      <c r="B13" s="38">
        <v>4</v>
      </c>
      <c r="C13" s="49"/>
      <c r="D13" s="24"/>
      <c r="E13" s="46"/>
      <c r="F13" s="40">
        <f>IF(C13=0,0,E13/C13)</f>
        <v>0</v>
      </c>
      <c r="G13" s="45">
        <f>IF($D13=0,0,$F13/$D13*7000)</f>
        <v>0</v>
      </c>
      <c r="H13" s="45">
        <f>IF($D13=0,0,$F13/$D13*$H$7)</f>
        <v>0</v>
      </c>
    </row>
    <row r="14" spans="1:8" x14ac:dyDescent="0.2">
      <c r="A14" s="41"/>
      <c r="B14" s="23"/>
      <c r="C14" s="28"/>
      <c r="D14" s="28"/>
      <c r="E14" s="26"/>
      <c r="F14" s="33"/>
      <c r="G14" s="33"/>
      <c r="H14" s="33"/>
    </row>
    <row r="15" spans="1:8" x14ac:dyDescent="0.2">
      <c r="A15" s="41"/>
      <c r="B15" s="23"/>
      <c r="C15" s="28"/>
      <c r="D15" s="28"/>
      <c r="E15" s="26"/>
      <c r="F15" s="33"/>
      <c r="G15" s="33"/>
      <c r="H15" s="33"/>
    </row>
    <row r="16" spans="1:8" x14ac:dyDescent="0.2">
      <c r="A16" s="118" t="s">
        <v>2</v>
      </c>
      <c r="B16" s="118" t="s">
        <v>3</v>
      </c>
      <c r="C16" s="118" t="s">
        <v>4</v>
      </c>
      <c r="D16" s="118" t="s">
        <v>5</v>
      </c>
      <c r="E16" s="34" t="s">
        <v>6</v>
      </c>
      <c r="F16" s="18" t="s">
        <v>7</v>
      </c>
      <c r="G16" s="18" t="s">
        <v>7</v>
      </c>
      <c r="H16" s="18" t="s">
        <v>8</v>
      </c>
    </row>
    <row r="17" spans="1:8" x14ac:dyDescent="0.2">
      <c r="A17" s="118"/>
      <c r="B17" s="118"/>
      <c r="C17" s="118"/>
      <c r="D17" s="118"/>
      <c r="E17" s="35" t="s">
        <v>21</v>
      </c>
      <c r="F17" s="19" t="s">
        <v>10</v>
      </c>
      <c r="G17" s="19" t="s">
        <v>11</v>
      </c>
      <c r="H17" s="19" t="s">
        <v>12</v>
      </c>
    </row>
    <row r="18" spans="1:8" x14ac:dyDescent="0.2">
      <c r="A18" s="118"/>
      <c r="B18" s="118"/>
      <c r="C18" s="118"/>
      <c r="D18" s="118"/>
      <c r="E18" s="36" t="s">
        <v>13</v>
      </c>
      <c r="F18" s="20" t="s">
        <v>13</v>
      </c>
      <c r="G18" s="20" t="s">
        <v>14</v>
      </c>
      <c r="H18" s="50">
        <f>H7</f>
        <v>5308</v>
      </c>
    </row>
    <row r="19" spans="1:8" ht="14.25" x14ac:dyDescent="0.25">
      <c r="A19" s="37"/>
      <c r="B19" s="102"/>
      <c r="C19" s="37" t="s">
        <v>15</v>
      </c>
      <c r="D19" s="37" t="s">
        <v>16</v>
      </c>
      <c r="E19" s="37" t="s">
        <v>17</v>
      </c>
      <c r="F19" s="37" t="s">
        <v>18</v>
      </c>
      <c r="G19" s="37" t="s">
        <v>19</v>
      </c>
      <c r="H19" s="37" t="s">
        <v>18</v>
      </c>
    </row>
    <row r="20" spans="1:8" x14ac:dyDescent="0.2">
      <c r="A20" s="37" t="s">
        <v>22</v>
      </c>
      <c r="B20" s="38" t="s">
        <v>20</v>
      </c>
      <c r="C20" s="48">
        <f>SUM(C21:C24)</f>
        <v>1951.02</v>
      </c>
      <c r="D20" s="42">
        <f>IF(C20=0,0,SUMPRODUCT(C21:C24,D21:D24)/C20)</f>
        <v>5500</v>
      </c>
      <c r="E20" s="47">
        <f>SUM(E21:E24)</f>
        <v>839348.31</v>
      </c>
      <c r="F20" s="40">
        <f t="shared" ref="F20:F24" si="0">IF(C20=0,0,E20/C20)</f>
        <v>430.20999784727991</v>
      </c>
      <c r="G20" s="45">
        <f t="shared" ref="G20:G26" si="1">IF($D20=0,0,$F20/$D20*7000)</f>
        <v>547.53999726017446</v>
      </c>
      <c r="H20" s="45">
        <f t="shared" ref="H20:H26" si="2">IF($D20=0,0,$F20/$D20*$H$18)</f>
        <v>415.19175792242942</v>
      </c>
    </row>
    <row r="21" spans="1:8" x14ac:dyDescent="0.2">
      <c r="A21" s="39" t="s">
        <v>102</v>
      </c>
      <c r="B21" s="38">
        <v>1</v>
      </c>
      <c r="C21" s="49"/>
      <c r="D21" s="24"/>
      <c r="E21" s="46"/>
      <c r="F21" s="40">
        <f t="shared" si="0"/>
        <v>0</v>
      </c>
      <c r="G21" s="45">
        <f t="shared" si="1"/>
        <v>0</v>
      </c>
      <c r="H21" s="45">
        <f t="shared" si="2"/>
        <v>0</v>
      </c>
    </row>
    <row r="22" spans="1:8" ht="14.25" customHeight="1" x14ac:dyDescent="0.2">
      <c r="A22" s="39" t="s">
        <v>104</v>
      </c>
      <c r="B22" s="38">
        <v>1</v>
      </c>
      <c r="C22" s="49"/>
      <c r="D22" s="24"/>
      <c r="E22" s="46"/>
      <c r="F22" s="40">
        <f t="shared" si="0"/>
        <v>0</v>
      </c>
      <c r="G22" s="45">
        <f t="shared" si="1"/>
        <v>0</v>
      </c>
      <c r="H22" s="45">
        <f t="shared" si="2"/>
        <v>0</v>
      </c>
    </row>
    <row r="23" spans="1:8" ht="14.25" customHeight="1" x14ac:dyDescent="0.2">
      <c r="A23" s="39" t="s">
        <v>103</v>
      </c>
      <c r="B23" s="38">
        <v>3</v>
      </c>
      <c r="C23" s="115">
        <v>1951.02</v>
      </c>
      <c r="D23" s="24">
        <v>5500</v>
      </c>
      <c r="E23" s="46">
        <v>839348.31</v>
      </c>
      <c r="F23" s="40">
        <f t="shared" si="0"/>
        <v>430.20999784727991</v>
      </c>
      <c r="G23" s="45">
        <f t="shared" si="1"/>
        <v>547.53999726017446</v>
      </c>
      <c r="H23" s="45">
        <f t="shared" si="2"/>
        <v>415.19175792242942</v>
      </c>
    </row>
    <row r="24" spans="1:8" x14ac:dyDescent="0.2">
      <c r="A24" s="39" t="s">
        <v>99</v>
      </c>
      <c r="B24" s="38">
        <v>4</v>
      </c>
      <c r="C24" s="49"/>
      <c r="D24" s="24"/>
      <c r="E24" s="46"/>
      <c r="F24" s="40">
        <f t="shared" si="0"/>
        <v>0</v>
      </c>
      <c r="G24" s="45">
        <f t="shared" si="1"/>
        <v>0</v>
      </c>
      <c r="H24" s="45">
        <f t="shared" si="2"/>
        <v>0</v>
      </c>
    </row>
    <row r="25" spans="1:8" x14ac:dyDescent="0.2">
      <c r="A25" s="28" t="s">
        <v>101</v>
      </c>
      <c r="B25" s="23"/>
      <c r="C25" s="23"/>
      <c r="D25" s="23"/>
      <c r="E25" s="100"/>
      <c r="F25" s="100"/>
      <c r="G25" s="33"/>
      <c r="H25" s="33"/>
    </row>
    <row r="26" spans="1:8" x14ac:dyDescent="0.2">
      <c r="A26" s="28" t="s">
        <v>94</v>
      </c>
      <c r="B26" s="23"/>
      <c r="C26" s="23"/>
      <c r="D26" s="23"/>
      <c r="E26" s="23"/>
      <c r="F26" s="100"/>
      <c r="G26" s="33"/>
      <c r="H26" s="33"/>
    </row>
    <row r="27" spans="1:8" x14ac:dyDescent="0.2">
      <c r="A27" s="28"/>
      <c r="B27" s="23"/>
      <c r="C27" s="104"/>
      <c r="D27" s="23"/>
      <c r="E27" s="23"/>
      <c r="F27" s="23"/>
      <c r="G27" s="33"/>
      <c r="H27" s="33"/>
    </row>
    <row r="28" spans="1:8" ht="25.5" x14ac:dyDescent="0.2">
      <c r="A28" s="44" t="s">
        <v>23</v>
      </c>
      <c r="B28" s="39"/>
      <c r="C28" s="24">
        <f>C20+C9</f>
        <v>11805.922</v>
      </c>
      <c r="D28" s="24">
        <v>5339</v>
      </c>
      <c r="E28" s="43">
        <f>C28*F28</f>
        <v>4058875.9836000004</v>
      </c>
      <c r="F28" s="25">
        <v>343.8</v>
      </c>
      <c r="G28" s="45">
        <f>IF($D28=0,0,$F28/$D28*7000)</f>
        <v>450.75856902041585</v>
      </c>
      <c r="H28" s="45">
        <f>IF($D28=0,0,$F28/$D28*$H$18)</f>
        <v>341.80378348005246</v>
      </c>
    </row>
    <row r="29" spans="1:8" customFormat="1" x14ac:dyDescent="0.2">
      <c r="A29" s="109" t="s">
        <v>109</v>
      </c>
      <c r="B29" s="105"/>
      <c r="C29" s="105"/>
      <c r="D29" s="105"/>
      <c r="E29" s="105"/>
      <c r="F29" s="105"/>
      <c r="G29" s="105"/>
      <c r="H29" s="105"/>
    </row>
    <row r="30" spans="1:8" x14ac:dyDescent="0.2">
      <c r="A30" s="109" t="s">
        <v>110</v>
      </c>
      <c r="B30" s="105"/>
      <c r="C30" s="105"/>
      <c r="D30" s="105"/>
      <c r="E30" s="105"/>
      <c r="F30" s="105"/>
      <c r="G30" s="105"/>
      <c r="H30" s="105"/>
    </row>
    <row r="31" spans="1:8" x14ac:dyDescent="0.2">
      <c r="D31" s="99"/>
    </row>
    <row r="32" spans="1:8" x14ac:dyDescent="0.2">
      <c r="A32" s="117"/>
      <c r="B32" s="117"/>
      <c r="C32" s="117"/>
      <c r="D32" s="117"/>
      <c r="E32" s="117"/>
      <c r="F32" s="117"/>
      <c r="G32" s="117"/>
      <c r="H32" s="117"/>
    </row>
    <row r="33" spans="1:8" x14ac:dyDescent="0.2">
      <c r="A33" s="27" t="s">
        <v>24</v>
      </c>
      <c r="B33" s="27"/>
      <c r="F33" s="15" t="s">
        <v>25</v>
      </c>
      <c r="G33" s="28"/>
      <c r="H33" s="28"/>
    </row>
    <row r="34" spans="1:8" x14ac:dyDescent="0.2">
      <c r="C34" s="29" t="s">
        <v>96</v>
      </c>
      <c r="D34" s="30"/>
      <c r="E34" s="30"/>
      <c r="F34" s="17" t="s">
        <v>26</v>
      </c>
      <c r="G34" s="29" t="s">
        <v>95</v>
      </c>
      <c r="H34" s="28"/>
    </row>
    <row r="35" spans="1:8" x14ac:dyDescent="0.2">
      <c r="A35" s="30"/>
      <c r="B35" s="30"/>
      <c r="C35" s="30"/>
      <c r="D35" s="30"/>
      <c r="E35" s="30"/>
      <c r="F35" s="30"/>
      <c r="G35" s="22"/>
      <c r="H35" s="31"/>
    </row>
    <row r="36" spans="1:8" x14ac:dyDescent="0.2">
      <c r="A36" s="30"/>
      <c r="B36" s="30"/>
      <c r="C36" s="30"/>
      <c r="D36" s="30"/>
      <c r="E36" s="30"/>
      <c r="F36" s="30"/>
      <c r="G36" s="22"/>
      <c r="H36" s="31"/>
    </row>
    <row r="37" spans="1:8" x14ac:dyDescent="0.2">
      <c r="A37" s="116"/>
      <c r="B37" s="101"/>
      <c r="C37" s="31"/>
      <c r="D37" s="31"/>
      <c r="E37" s="31"/>
      <c r="F37" s="32"/>
      <c r="G37" s="33"/>
      <c r="H37" s="32"/>
    </row>
    <row r="38" spans="1:8" x14ac:dyDescent="0.2">
      <c r="A38" s="116"/>
      <c r="B38" s="101"/>
      <c r="C38" s="31"/>
      <c r="D38" s="31"/>
      <c r="E38" s="31"/>
      <c r="F38" s="31"/>
      <c r="G38" s="33"/>
      <c r="H38" s="32"/>
    </row>
    <row r="39" spans="1:8" x14ac:dyDescent="0.2">
      <c r="A39" s="31"/>
      <c r="B39" s="31"/>
      <c r="C39" s="31"/>
      <c r="D39" s="31"/>
      <c r="E39" s="31"/>
      <c r="F39" s="32"/>
      <c r="G39" s="33"/>
      <c r="H39" s="32"/>
    </row>
    <row r="40" spans="1:8" x14ac:dyDescent="0.2">
      <c r="A40" s="31"/>
      <c r="B40" s="31"/>
      <c r="C40" s="31"/>
      <c r="D40" s="31"/>
      <c r="E40" s="31"/>
      <c r="F40" s="31"/>
      <c r="G40" s="33"/>
      <c r="H40" s="32"/>
    </row>
    <row r="41" spans="1:8" x14ac:dyDescent="0.2">
      <c r="A41" s="31"/>
      <c r="B41" s="31"/>
      <c r="C41" s="31"/>
      <c r="D41" s="31"/>
      <c r="E41" s="31"/>
      <c r="F41" s="31"/>
      <c r="G41" s="33"/>
      <c r="H41" s="32"/>
    </row>
    <row r="42" spans="1:8" x14ac:dyDescent="0.2">
      <c r="A42" s="31"/>
      <c r="B42" s="31"/>
      <c r="C42" s="31"/>
      <c r="D42" s="32"/>
      <c r="E42" s="32"/>
      <c r="F42" s="32"/>
      <c r="G42" s="33"/>
      <c r="H42" s="32"/>
    </row>
    <row r="43" spans="1:8" x14ac:dyDescent="0.2">
      <c r="A43" s="31"/>
      <c r="B43" s="31"/>
      <c r="C43" s="31"/>
      <c r="D43" s="31"/>
      <c r="E43" s="31"/>
      <c r="F43" s="31"/>
      <c r="G43" s="28"/>
      <c r="H43" s="31"/>
    </row>
    <row r="44" spans="1:8" x14ac:dyDescent="0.2">
      <c r="A44" s="31"/>
      <c r="B44" s="31"/>
      <c r="C44" s="31"/>
      <c r="D44" s="31"/>
      <c r="E44" s="31"/>
      <c r="F44" s="31"/>
      <c r="G44" s="28"/>
      <c r="H44" s="31"/>
    </row>
    <row r="45" spans="1:8" x14ac:dyDescent="0.2">
      <c r="A45" s="31"/>
      <c r="B45" s="31"/>
      <c r="C45" s="31"/>
      <c r="D45" s="31"/>
      <c r="E45" s="31"/>
      <c r="F45" s="31"/>
      <c r="G45" s="31"/>
      <c r="H45" s="31"/>
    </row>
    <row r="46" spans="1:8" x14ac:dyDescent="0.2">
      <c r="G46" s="28"/>
      <c r="H46" s="28"/>
    </row>
    <row r="47" spans="1:8" x14ac:dyDescent="0.2">
      <c r="G47" s="28"/>
      <c r="H47" s="28"/>
    </row>
    <row r="48" spans="1: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</sheetData>
  <mergeCells count="12">
    <mergeCell ref="A37:A38"/>
    <mergeCell ref="A3:H3"/>
    <mergeCell ref="A5:A7"/>
    <mergeCell ref="B5:B7"/>
    <mergeCell ref="C5:C7"/>
    <mergeCell ref="D5:D7"/>
    <mergeCell ref="A9:A13"/>
    <mergeCell ref="A16:A18"/>
    <mergeCell ref="B16:B18"/>
    <mergeCell ref="C16:C18"/>
    <mergeCell ref="D16:D18"/>
    <mergeCell ref="A32:H32"/>
  </mergeCells>
  <printOptions horizontalCentered="1"/>
  <pageMargins left="0.31496062992125984" right="0.27559055118110237" top="0.5" bottom="0.98425196850393704" header="0.35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workbookViewId="0">
      <selection activeCell="C27" sqref="C27"/>
    </sheetView>
  </sheetViews>
  <sheetFormatPr defaultColWidth="0" defaultRowHeight="12.75" zeroHeight="1" x14ac:dyDescent="0.2"/>
  <cols>
    <col min="1" max="1" width="49.5703125" style="17" customWidth="1"/>
    <col min="2" max="2" width="6.85546875" style="17" customWidth="1"/>
    <col min="3" max="3" width="11.85546875" style="17" customWidth="1"/>
    <col min="4" max="6" width="12.42578125" style="17" customWidth="1"/>
    <col min="7" max="7" width="17.42578125" style="17" bestFit="1" customWidth="1"/>
    <col min="8" max="8" width="15.42578125" style="17" customWidth="1"/>
    <col min="9" max="9" width="9.140625" style="17" customWidth="1"/>
    <col min="10" max="16384" width="0" style="17" hidden="1"/>
  </cols>
  <sheetData>
    <row r="1" spans="1:9" x14ac:dyDescent="0.2">
      <c r="A1" s="15" t="s">
        <v>0</v>
      </c>
      <c r="B1" s="15"/>
      <c r="C1" s="110" t="s">
        <v>97</v>
      </c>
      <c r="D1" s="110"/>
      <c r="E1" s="111"/>
      <c r="F1" s="111"/>
      <c r="G1" s="111"/>
      <c r="H1" s="107" t="s">
        <v>1</v>
      </c>
      <c r="I1" s="111"/>
    </row>
    <row r="2" spans="1:9" x14ac:dyDescent="0.2"/>
    <row r="3" spans="1:9" x14ac:dyDescent="0.2">
      <c r="A3" s="117" t="s">
        <v>105</v>
      </c>
      <c r="B3" s="117"/>
      <c r="C3" s="117"/>
      <c r="D3" s="117"/>
      <c r="E3" s="117"/>
      <c r="F3" s="117"/>
      <c r="G3" s="117"/>
      <c r="H3" s="117"/>
    </row>
    <row r="4" spans="1:9" x14ac:dyDescent="0.2"/>
    <row r="5" spans="1:9" x14ac:dyDescent="0.2">
      <c r="A5" s="118" t="s">
        <v>2</v>
      </c>
      <c r="B5" s="118" t="s">
        <v>3</v>
      </c>
      <c r="C5" s="118" t="s">
        <v>4</v>
      </c>
      <c r="D5" s="118" t="s">
        <v>5</v>
      </c>
      <c r="E5" s="34" t="s">
        <v>6</v>
      </c>
      <c r="F5" s="18" t="s">
        <v>7</v>
      </c>
      <c r="G5" s="18" t="s">
        <v>7</v>
      </c>
      <c r="H5" s="18" t="s">
        <v>8</v>
      </c>
    </row>
    <row r="6" spans="1:9" x14ac:dyDescent="0.2">
      <c r="A6" s="118"/>
      <c r="B6" s="118"/>
      <c r="C6" s="118"/>
      <c r="D6" s="118"/>
      <c r="E6" s="35" t="s">
        <v>9</v>
      </c>
      <c r="F6" s="19" t="s">
        <v>10</v>
      </c>
      <c r="G6" s="19" t="s">
        <v>11</v>
      </c>
      <c r="H6" s="19" t="s">
        <v>12</v>
      </c>
    </row>
    <row r="7" spans="1:9" x14ac:dyDescent="0.2">
      <c r="A7" s="118"/>
      <c r="B7" s="118"/>
      <c r="C7" s="118"/>
      <c r="D7" s="118"/>
      <c r="E7" s="36" t="s">
        <v>13</v>
      </c>
      <c r="F7" s="20" t="s">
        <v>13</v>
      </c>
      <c r="G7" s="20" t="s">
        <v>14</v>
      </c>
      <c r="H7" s="21">
        <v>5308</v>
      </c>
    </row>
    <row r="8" spans="1:9" ht="14.25" x14ac:dyDescent="0.25">
      <c r="A8" s="37"/>
      <c r="B8" s="87"/>
      <c r="C8" s="37" t="s">
        <v>15</v>
      </c>
      <c r="D8" s="37" t="s">
        <v>16</v>
      </c>
      <c r="E8" s="37" t="s">
        <v>17</v>
      </c>
      <c r="F8" s="37" t="s">
        <v>18</v>
      </c>
      <c r="G8" s="37" t="s">
        <v>19</v>
      </c>
      <c r="H8" s="37" t="s">
        <v>18</v>
      </c>
    </row>
    <row r="9" spans="1:9" x14ac:dyDescent="0.2">
      <c r="A9" s="119" t="s">
        <v>100</v>
      </c>
      <c r="B9" s="38" t="s">
        <v>20</v>
      </c>
      <c r="C9" s="48">
        <f>SUM(C10:C13)</f>
        <v>9854.902</v>
      </c>
      <c r="D9" s="42">
        <f>IF(C9=0,0,SUMPRODUCT(C10:C13,D10:D13)/C9)</f>
        <v>5308</v>
      </c>
      <c r="E9" s="47">
        <f>SUM(E10:E13)</f>
        <v>3219511.27</v>
      </c>
      <c r="F9" s="40">
        <f>IF(C9=0,0,E9/C9)</f>
        <v>326.69135319661223</v>
      </c>
      <c r="G9" s="45">
        <f>IF($D9=0,0,$F9/$D9*7000)</f>
        <v>430.82883805129723</v>
      </c>
      <c r="H9" s="45">
        <f>IF($D9=0,0,$F9/$D9*$H$7)</f>
        <v>326.69135319661223</v>
      </c>
    </row>
    <row r="10" spans="1:9" x14ac:dyDescent="0.2">
      <c r="A10" s="120"/>
      <c r="B10" s="38">
        <v>1</v>
      </c>
      <c r="C10" s="115">
        <v>9854.902</v>
      </c>
      <c r="D10" s="24">
        <v>5308</v>
      </c>
      <c r="E10" s="46">
        <v>3219511.27</v>
      </c>
      <c r="F10" s="40">
        <f>IF(C10=0,0,E10/C10)</f>
        <v>326.69135319661223</v>
      </c>
      <c r="G10" s="45">
        <f>IF($D10=0,0,$F10/$D10*7000)</f>
        <v>430.82883805129723</v>
      </c>
      <c r="H10" s="45">
        <f>IF($D10=0,0,$F10/$D10*$H$7)</f>
        <v>326.69135319661223</v>
      </c>
    </row>
    <row r="11" spans="1:9" x14ac:dyDescent="0.2">
      <c r="A11" s="120"/>
      <c r="B11" s="38">
        <v>2</v>
      </c>
      <c r="C11" s="49"/>
      <c r="D11" s="24"/>
      <c r="E11" s="46"/>
      <c r="F11" s="40">
        <f>IF(C11=0,0,E11/C11)</f>
        <v>0</v>
      </c>
      <c r="G11" s="45">
        <f>IF($D11=0,0,$F11/$D11*7000)</f>
        <v>0</v>
      </c>
      <c r="H11" s="45">
        <f>IF($D11=0,0,$F11/$D11*$H$7)</f>
        <v>0</v>
      </c>
    </row>
    <row r="12" spans="1:9" x14ac:dyDescent="0.2">
      <c r="A12" s="120"/>
      <c r="B12" s="38">
        <v>3</v>
      </c>
      <c r="C12" s="49"/>
      <c r="D12" s="24"/>
      <c r="E12" s="46"/>
      <c r="F12" s="40">
        <f>IF(C12=0,0,E12/C12)</f>
        <v>0</v>
      </c>
      <c r="G12" s="45">
        <f>IF($D12=0,0,$F12/$D12*7000)</f>
        <v>0</v>
      </c>
      <c r="H12" s="45">
        <f>IF($D12=0,0,$F12/$D12*$H$7)</f>
        <v>0</v>
      </c>
    </row>
    <row r="13" spans="1:9" x14ac:dyDescent="0.2">
      <c r="A13" s="121"/>
      <c r="B13" s="38">
        <v>4</v>
      </c>
      <c r="C13" s="49"/>
      <c r="D13" s="24"/>
      <c r="E13" s="46"/>
      <c r="F13" s="40">
        <f>IF(C13=0,0,E13/C13)</f>
        <v>0</v>
      </c>
      <c r="G13" s="45">
        <f>IF($D13=0,0,$F13/$D13*7000)</f>
        <v>0</v>
      </c>
      <c r="H13" s="45">
        <f>IF($D13=0,0,$F13/$D13*$H$7)</f>
        <v>0</v>
      </c>
    </row>
    <row r="14" spans="1:9" x14ac:dyDescent="0.2">
      <c r="A14" s="41"/>
      <c r="B14" s="23"/>
      <c r="C14" s="28"/>
      <c r="D14" s="28"/>
      <c r="E14" s="26"/>
      <c r="F14" s="33"/>
      <c r="G14" s="33"/>
      <c r="H14" s="33"/>
    </row>
    <row r="15" spans="1:9" x14ac:dyDescent="0.2">
      <c r="A15" s="41"/>
      <c r="B15" s="23"/>
      <c r="C15" s="28"/>
      <c r="D15" s="28"/>
      <c r="E15" s="26"/>
      <c r="F15" s="33"/>
      <c r="G15" s="33"/>
      <c r="H15" s="33"/>
    </row>
    <row r="16" spans="1:9" x14ac:dyDescent="0.2">
      <c r="A16" s="118" t="s">
        <v>2</v>
      </c>
      <c r="B16" s="118" t="s">
        <v>3</v>
      </c>
      <c r="C16" s="118" t="s">
        <v>4</v>
      </c>
      <c r="D16" s="118" t="s">
        <v>5</v>
      </c>
      <c r="E16" s="34" t="s">
        <v>6</v>
      </c>
      <c r="F16" s="18" t="s">
        <v>7</v>
      </c>
      <c r="G16" s="18" t="s">
        <v>7</v>
      </c>
      <c r="H16" s="18" t="s">
        <v>8</v>
      </c>
    </row>
    <row r="17" spans="1:9" x14ac:dyDescent="0.2">
      <c r="A17" s="118"/>
      <c r="B17" s="118"/>
      <c r="C17" s="118"/>
      <c r="D17" s="118"/>
      <c r="E17" s="35" t="s">
        <v>21</v>
      </c>
      <c r="F17" s="19" t="s">
        <v>10</v>
      </c>
      <c r="G17" s="19" t="s">
        <v>11</v>
      </c>
      <c r="H17" s="19" t="s">
        <v>12</v>
      </c>
    </row>
    <row r="18" spans="1:9" x14ac:dyDescent="0.2">
      <c r="A18" s="118"/>
      <c r="B18" s="118"/>
      <c r="C18" s="118"/>
      <c r="D18" s="118"/>
      <c r="E18" s="36" t="s">
        <v>13</v>
      </c>
      <c r="F18" s="20" t="s">
        <v>13</v>
      </c>
      <c r="G18" s="20" t="s">
        <v>14</v>
      </c>
      <c r="H18" s="50">
        <f>H7</f>
        <v>5308</v>
      </c>
    </row>
    <row r="19" spans="1:9" ht="14.25" x14ac:dyDescent="0.25">
      <c r="A19" s="37"/>
      <c r="B19" s="87"/>
      <c r="C19" s="37" t="s">
        <v>15</v>
      </c>
      <c r="D19" s="37" t="s">
        <v>16</v>
      </c>
      <c r="E19" s="37" t="s">
        <v>17</v>
      </c>
      <c r="F19" s="37" t="s">
        <v>18</v>
      </c>
      <c r="G19" s="37" t="s">
        <v>19</v>
      </c>
      <c r="H19" s="37" t="s">
        <v>18</v>
      </c>
    </row>
    <row r="20" spans="1:9" x14ac:dyDescent="0.2">
      <c r="A20" s="37" t="s">
        <v>22</v>
      </c>
      <c r="B20" s="38" t="s">
        <v>20</v>
      </c>
      <c r="C20" s="48">
        <f>SUM(C21:C24)</f>
        <v>14803.098</v>
      </c>
      <c r="D20" s="42">
        <f>IF(C20=0,0,SUMPRODUCT(C21:C24,D21:D24)/C20)</f>
        <v>5413.1798087130146</v>
      </c>
      <c r="E20" s="47">
        <f>SUM(E21:E24)</f>
        <v>7586689.2599999998</v>
      </c>
      <c r="F20" s="40">
        <f>IF(C20=0,0,E20/C20)</f>
        <v>512.50685903720967</v>
      </c>
      <c r="G20" s="45">
        <f>IF($D20=0,0,$F20/$D20*7000)</f>
        <v>662.74318238717603</v>
      </c>
      <c r="H20" s="45">
        <f>IF($D20=0,0,$F20/$D20*$H$7)</f>
        <v>502.54868744444718</v>
      </c>
    </row>
    <row r="21" spans="1:9" x14ac:dyDescent="0.2">
      <c r="A21" s="39" t="s">
        <v>107</v>
      </c>
      <c r="B21" s="38">
        <v>1</v>
      </c>
      <c r="C21" s="49"/>
      <c r="D21" s="24"/>
      <c r="E21" s="46"/>
      <c r="F21" s="40">
        <f t="shared" ref="F21:F24" si="0">IF(C21=0,0,E21/C21)</f>
        <v>0</v>
      </c>
      <c r="G21" s="45">
        <f t="shared" ref="G21:G24" si="1">IF($D21=0,0,$F21/$D21*7000)</f>
        <v>0</v>
      </c>
      <c r="H21" s="45">
        <f t="shared" ref="H21:H24" si="2">IF($D21=0,0,$F21/$D21*$H$18)</f>
        <v>0</v>
      </c>
    </row>
    <row r="22" spans="1:9" ht="14.25" customHeight="1" x14ac:dyDescent="0.2">
      <c r="A22" s="39" t="s">
        <v>107</v>
      </c>
      <c r="B22" s="38">
        <v>1</v>
      </c>
      <c r="C22" s="49"/>
      <c r="D22" s="24"/>
      <c r="E22" s="46"/>
      <c r="F22" s="40">
        <f t="shared" si="0"/>
        <v>0</v>
      </c>
      <c r="G22" s="45">
        <f t="shared" si="1"/>
        <v>0</v>
      </c>
      <c r="H22" s="45">
        <f t="shared" si="2"/>
        <v>0</v>
      </c>
    </row>
    <row r="23" spans="1:9" ht="14.25" customHeight="1" x14ac:dyDescent="0.2">
      <c r="A23" s="39" t="s">
        <v>103</v>
      </c>
      <c r="B23" s="38">
        <v>3</v>
      </c>
      <c r="C23" s="115">
        <v>1951.02</v>
      </c>
      <c r="D23" s="24">
        <v>5500</v>
      </c>
      <c r="E23" s="46">
        <v>839348.31</v>
      </c>
      <c r="F23" s="40">
        <f t="shared" si="0"/>
        <v>430.20999784727991</v>
      </c>
      <c r="G23" s="45">
        <f t="shared" si="1"/>
        <v>547.53999726017446</v>
      </c>
      <c r="H23" s="45">
        <f t="shared" si="2"/>
        <v>415.19175792242942</v>
      </c>
    </row>
    <row r="24" spans="1:9" x14ac:dyDescent="0.2">
      <c r="A24" s="39" t="s">
        <v>99</v>
      </c>
      <c r="B24" s="38">
        <v>4</v>
      </c>
      <c r="C24" s="49">
        <v>12852.078</v>
      </c>
      <c r="D24" s="24">
        <v>5400</v>
      </c>
      <c r="E24" s="46">
        <v>6747340.9500000002</v>
      </c>
      <c r="F24" s="40">
        <f t="shared" si="0"/>
        <v>525</v>
      </c>
      <c r="G24" s="45">
        <f t="shared" si="1"/>
        <v>680.55555555555554</v>
      </c>
      <c r="H24" s="45">
        <f t="shared" si="2"/>
        <v>516.05555555555554</v>
      </c>
      <c r="I24" s="107"/>
    </row>
    <row r="25" spans="1:9" x14ac:dyDescent="0.2">
      <c r="A25" s="28"/>
      <c r="B25" s="23"/>
      <c r="C25" s="23"/>
      <c r="D25" s="23"/>
      <c r="E25" s="100"/>
      <c r="F25" s="100"/>
      <c r="G25" s="33"/>
      <c r="H25" s="33"/>
    </row>
    <row r="26" spans="1:9" x14ac:dyDescent="0.2">
      <c r="A26" s="28"/>
      <c r="B26" s="23"/>
      <c r="C26" s="23"/>
      <c r="D26" s="23"/>
      <c r="E26" s="23"/>
      <c r="F26" s="23"/>
      <c r="G26" s="33"/>
      <c r="H26" s="33"/>
    </row>
    <row r="27" spans="1:9" x14ac:dyDescent="0.2">
      <c r="A27" s="28"/>
      <c r="B27" s="23"/>
      <c r="C27" s="104"/>
      <c r="D27" s="23"/>
      <c r="E27" s="23"/>
      <c r="F27" s="23"/>
      <c r="G27" s="33"/>
      <c r="H27" s="33"/>
    </row>
    <row r="28" spans="1:9" ht="25.5" x14ac:dyDescent="0.2">
      <c r="A28" s="44" t="s">
        <v>23</v>
      </c>
      <c r="B28" s="39"/>
      <c r="C28" s="24">
        <f>C20+C9</f>
        <v>24658</v>
      </c>
      <c r="D28" s="24">
        <v>5371</v>
      </c>
      <c r="E28" s="43">
        <f>C28*F28</f>
        <v>10806294.526000001</v>
      </c>
      <c r="F28" s="25">
        <v>438.24700000000001</v>
      </c>
      <c r="G28" s="45">
        <f>IF($D28=0,0,$F28/$D28*7000)</f>
        <v>571.16533234034637</v>
      </c>
      <c r="H28" s="45">
        <f>IF($D28=0,0,$F28/$D28*$H$18)</f>
        <v>433.10651200893687</v>
      </c>
    </row>
    <row r="29" spans="1:9" customFormat="1" x14ac:dyDescent="0.2">
      <c r="F29" s="114"/>
    </row>
    <row r="30" spans="1:9" x14ac:dyDescent="0.2">
      <c r="A30"/>
      <c r="B30"/>
      <c r="C30"/>
      <c r="D30"/>
      <c r="E30"/>
      <c r="F30"/>
      <c r="G30"/>
      <c r="H30"/>
    </row>
    <row r="31" spans="1:9" x14ac:dyDescent="0.2">
      <c r="D31" s="99"/>
    </row>
    <row r="32" spans="1:9" x14ac:dyDescent="0.2">
      <c r="A32" s="117"/>
      <c r="B32" s="117"/>
      <c r="C32" s="117"/>
      <c r="D32" s="117"/>
      <c r="E32" s="117"/>
      <c r="F32" s="117"/>
      <c r="G32" s="117"/>
      <c r="H32" s="117"/>
    </row>
    <row r="33" spans="1:8" x14ac:dyDescent="0.2">
      <c r="A33" s="27" t="s">
        <v>24</v>
      </c>
      <c r="B33" s="27"/>
      <c r="F33" s="15" t="s">
        <v>25</v>
      </c>
      <c r="G33" s="28"/>
      <c r="H33" s="28"/>
    </row>
    <row r="34" spans="1:8" x14ac:dyDescent="0.2">
      <c r="C34" s="29" t="s">
        <v>96</v>
      </c>
      <c r="D34" s="108"/>
      <c r="E34" s="108"/>
      <c r="F34" s="107" t="s">
        <v>26</v>
      </c>
      <c r="G34" s="29" t="s">
        <v>95</v>
      </c>
      <c r="H34" s="28"/>
    </row>
    <row r="35" spans="1:8" x14ac:dyDescent="0.2">
      <c r="A35" s="30"/>
      <c r="B35" s="30"/>
      <c r="C35" s="30"/>
      <c r="D35" s="30"/>
      <c r="E35" s="30"/>
      <c r="F35" s="30"/>
      <c r="G35" s="22"/>
      <c r="H35" s="31"/>
    </row>
    <row r="36" spans="1:8" x14ac:dyDescent="0.2">
      <c r="A36" s="30"/>
      <c r="B36" s="30"/>
      <c r="C36" s="30"/>
      <c r="D36" s="30"/>
      <c r="E36" s="30"/>
      <c r="F36" s="30"/>
      <c r="G36" s="22"/>
      <c r="H36" s="31"/>
    </row>
    <row r="37" spans="1:8" x14ac:dyDescent="0.2">
      <c r="A37" s="116"/>
      <c r="B37" s="88"/>
      <c r="C37" s="31"/>
      <c r="D37" s="31"/>
      <c r="E37" s="31"/>
      <c r="F37" s="32"/>
      <c r="G37" s="33"/>
      <c r="H37" s="32"/>
    </row>
    <row r="38" spans="1:8" x14ac:dyDescent="0.2">
      <c r="A38" s="116"/>
      <c r="B38" s="88"/>
      <c r="C38" s="31"/>
      <c r="D38" s="31"/>
      <c r="E38" s="31"/>
      <c r="F38" s="31"/>
      <c r="G38" s="33"/>
      <c r="H38" s="32"/>
    </row>
    <row r="39" spans="1:8" x14ac:dyDescent="0.2">
      <c r="A39" s="31"/>
      <c r="B39" s="31"/>
      <c r="C39" s="31"/>
      <c r="D39" s="31"/>
      <c r="E39" s="31"/>
      <c r="F39" s="32"/>
      <c r="G39" s="33"/>
      <c r="H39" s="32"/>
    </row>
    <row r="40" spans="1:8" x14ac:dyDescent="0.2">
      <c r="A40" s="31"/>
      <c r="B40" s="31"/>
      <c r="C40" s="31"/>
      <c r="D40" s="31"/>
      <c r="E40" s="31"/>
      <c r="F40" s="31"/>
      <c r="G40" s="33"/>
      <c r="H40" s="32"/>
    </row>
    <row r="41" spans="1:8" x14ac:dyDescent="0.2">
      <c r="A41" s="31"/>
      <c r="B41" s="31"/>
      <c r="C41" s="31"/>
      <c r="D41" s="31"/>
      <c r="E41" s="31"/>
      <c r="F41" s="31"/>
      <c r="G41" s="33"/>
      <c r="H41" s="32"/>
    </row>
    <row r="42" spans="1:8" x14ac:dyDescent="0.2">
      <c r="A42" s="31"/>
      <c r="B42" s="31"/>
      <c r="C42" s="31"/>
      <c r="D42" s="32"/>
      <c r="E42" s="32"/>
      <c r="F42" s="32"/>
      <c r="G42" s="33"/>
      <c r="H42" s="32"/>
    </row>
    <row r="43" spans="1:8" x14ac:dyDescent="0.2">
      <c r="A43" s="31"/>
      <c r="B43" s="31"/>
      <c r="C43" s="31"/>
      <c r="D43" s="31"/>
      <c r="E43" s="31"/>
      <c r="F43" s="31"/>
      <c r="G43" s="28"/>
      <c r="H43" s="31"/>
    </row>
    <row r="44" spans="1:8" x14ac:dyDescent="0.2">
      <c r="A44" s="31"/>
      <c r="B44" s="31"/>
      <c r="C44" s="31"/>
      <c r="D44" s="31"/>
      <c r="E44" s="31"/>
      <c r="F44" s="31"/>
      <c r="G44" s="28"/>
      <c r="H44" s="31"/>
    </row>
    <row r="45" spans="1:8" x14ac:dyDescent="0.2">
      <c r="A45" s="31"/>
      <c r="B45" s="31"/>
      <c r="C45" s="31"/>
      <c r="D45" s="31"/>
      <c r="E45" s="31"/>
      <c r="F45" s="31"/>
      <c r="G45" s="31"/>
      <c r="H45" s="31"/>
    </row>
    <row r="46" spans="1:8" x14ac:dyDescent="0.2">
      <c r="G46" s="28"/>
      <c r="H46" s="28"/>
    </row>
    <row r="47" spans="1:8" x14ac:dyDescent="0.2">
      <c r="G47" s="28"/>
      <c r="H47" s="28"/>
    </row>
    <row r="48" spans="1: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</sheetData>
  <mergeCells count="12">
    <mergeCell ref="A37:A38"/>
    <mergeCell ref="A3:H3"/>
    <mergeCell ref="A32:H32"/>
    <mergeCell ref="B5:B7"/>
    <mergeCell ref="C5:C7"/>
    <mergeCell ref="D5:D7"/>
    <mergeCell ref="A5:A7"/>
    <mergeCell ref="A9:A13"/>
    <mergeCell ref="A16:A18"/>
    <mergeCell ref="B16:B18"/>
    <mergeCell ref="C16:C18"/>
    <mergeCell ref="D16:D18"/>
  </mergeCells>
  <phoneticPr fontId="0" type="noConversion"/>
  <printOptions horizontalCentered="1"/>
  <pageMargins left="0.31496062992125984" right="0.27559055118110237" top="0.5" bottom="0.98425196850393704" header="0.35" footer="0.51181102362204722"/>
  <pageSetup paperSize="9" orientation="landscape" r:id="rId1"/>
  <headerFooter alignWithMargins="0"/>
  <ignoredErrors>
    <ignoredError sqref="C9 E9 E28" unlockedFormula="1"/>
    <ignoredError sqref="D9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workbookViewId="0">
      <selection activeCell="D13" sqref="D13"/>
    </sheetView>
  </sheetViews>
  <sheetFormatPr defaultColWidth="0" defaultRowHeight="12.75" customHeight="1" zeroHeight="1" x14ac:dyDescent="0.2"/>
  <cols>
    <col min="1" max="1" width="10.42578125" customWidth="1"/>
    <col min="2" max="2" width="12" bestFit="1" customWidth="1"/>
    <col min="3" max="3" width="10.42578125" bestFit="1" customWidth="1"/>
    <col min="4" max="4" width="12" bestFit="1" customWidth="1"/>
    <col min="5" max="5" width="13.5703125" customWidth="1"/>
    <col min="6" max="6" width="11.140625" bestFit="1" customWidth="1"/>
    <col min="7" max="7" width="12" bestFit="1" customWidth="1"/>
    <col min="8" max="8" width="13.5703125" customWidth="1"/>
    <col min="9" max="9" width="10.42578125" bestFit="1" customWidth="1"/>
    <col min="10" max="10" width="12" bestFit="1" customWidth="1"/>
    <col min="11" max="11" width="13.5703125" customWidth="1"/>
    <col min="12" max="12" width="12.140625" customWidth="1"/>
  </cols>
  <sheetData>
    <row r="1" spans="1:11" x14ac:dyDescent="0.2">
      <c r="A1" s="3"/>
      <c r="B1" s="4" t="s">
        <v>27</v>
      </c>
      <c r="C1" s="122" t="s">
        <v>97</v>
      </c>
      <c r="D1" s="122"/>
      <c r="E1" s="122"/>
      <c r="F1" s="122"/>
      <c r="G1" s="122"/>
      <c r="H1" s="122"/>
      <c r="I1" s="122"/>
      <c r="J1" s="3"/>
      <c r="K1" s="1" t="s">
        <v>1</v>
      </c>
    </row>
    <row r="2" spans="1:1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123" t="s">
        <v>28</v>
      </c>
      <c r="B5" s="124"/>
      <c r="C5" s="127" t="s">
        <v>29</v>
      </c>
      <c r="D5" s="127"/>
      <c r="E5" s="127"/>
      <c r="F5" s="127" t="s">
        <v>30</v>
      </c>
      <c r="G5" s="127"/>
      <c r="H5" s="127"/>
      <c r="I5" s="127" t="s">
        <v>31</v>
      </c>
      <c r="J5" s="127"/>
      <c r="K5" s="127"/>
    </row>
    <row r="6" spans="1:11" x14ac:dyDescent="0.2">
      <c r="A6" s="125"/>
      <c r="B6" s="126"/>
      <c r="C6" s="89" t="s">
        <v>32</v>
      </c>
      <c r="D6" s="89" t="s">
        <v>33</v>
      </c>
      <c r="E6" s="89" t="s">
        <v>34</v>
      </c>
      <c r="F6" s="89" t="s">
        <v>32</v>
      </c>
      <c r="G6" s="89" t="s">
        <v>33</v>
      </c>
      <c r="H6" s="89" t="s">
        <v>34</v>
      </c>
      <c r="I6" s="89" t="s">
        <v>32</v>
      </c>
      <c r="J6" s="89" t="s">
        <v>33</v>
      </c>
      <c r="K6" s="89" t="s">
        <v>34</v>
      </c>
    </row>
    <row r="7" spans="1:11" x14ac:dyDescent="0.2">
      <c r="A7" s="5" t="s">
        <v>35</v>
      </c>
      <c r="B7" s="5" t="s">
        <v>36</v>
      </c>
      <c r="C7" s="89" t="s">
        <v>15</v>
      </c>
      <c r="D7" s="89" t="s">
        <v>16</v>
      </c>
      <c r="E7" s="89" t="s">
        <v>37</v>
      </c>
      <c r="F7" s="89" t="s">
        <v>15</v>
      </c>
      <c r="G7" s="89" t="s">
        <v>16</v>
      </c>
      <c r="H7" s="89" t="s">
        <v>37</v>
      </c>
      <c r="I7" s="89" t="s">
        <v>15</v>
      </c>
      <c r="J7" s="89" t="s">
        <v>16</v>
      </c>
      <c r="K7" s="89" t="s">
        <v>37</v>
      </c>
    </row>
    <row r="8" spans="1:11" x14ac:dyDescent="0.2">
      <c r="A8" s="9">
        <v>12</v>
      </c>
      <c r="B8" s="74" t="s">
        <v>38</v>
      </c>
      <c r="C8" s="94">
        <v>24.672000000000001</v>
      </c>
      <c r="D8" s="6">
        <v>5601</v>
      </c>
      <c r="E8" s="7">
        <v>4562.5200000000004</v>
      </c>
      <c r="F8" s="8"/>
      <c r="G8" s="8"/>
      <c r="H8" s="8"/>
      <c r="I8" s="8"/>
      <c r="J8" s="8"/>
      <c r="K8" s="8"/>
    </row>
    <row r="9" spans="1:11" x14ac:dyDescent="0.2">
      <c r="A9" s="9">
        <f>IF(A8=12,1,A8+1)</f>
        <v>1</v>
      </c>
      <c r="B9" s="74" t="s">
        <v>39</v>
      </c>
      <c r="C9" s="95">
        <v>24.672000000000001</v>
      </c>
      <c r="D9" s="11">
        <f>IF(C9=0,0,SUM(C8*D8,F9*G9-I9*J9)/C9)</f>
        <v>5601</v>
      </c>
      <c r="E9" s="12">
        <f>SUM(E8,H9,-K9)</f>
        <v>4562.5200000000004</v>
      </c>
      <c r="F9" s="6"/>
      <c r="G9" s="6"/>
      <c r="H9" s="14"/>
      <c r="I9" s="6"/>
      <c r="J9" s="6"/>
      <c r="K9" s="14"/>
    </row>
    <row r="10" spans="1:11" x14ac:dyDescent="0.2">
      <c r="A10" s="9">
        <f t="shared" ref="A10:A23" si="0">IF(A9=12,1,A9+1)</f>
        <v>2</v>
      </c>
      <c r="B10" s="74" t="s">
        <v>40</v>
      </c>
      <c r="C10" s="95">
        <f t="shared" ref="C10:C23" si="1">SUM(C9,F10,-I10)</f>
        <v>24.672000000000001</v>
      </c>
      <c r="D10" s="11">
        <f t="shared" ref="D10:D23" si="2">IF(C10=0,0,SUM(C9*D9,F10*G10-I10*J10)/C10)</f>
        <v>5601</v>
      </c>
      <c r="E10" s="12">
        <f t="shared" ref="E10:E23" si="3">SUM(E9,H10,-K10)</f>
        <v>4562.5200000000004</v>
      </c>
      <c r="F10" s="6"/>
      <c r="G10" s="6"/>
      <c r="H10" s="14"/>
      <c r="I10" s="6"/>
      <c r="J10" s="6"/>
      <c r="K10" s="14"/>
    </row>
    <row r="11" spans="1:11" x14ac:dyDescent="0.2">
      <c r="A11" s="9">
        <f t="shared" si="0"/>
        <v>3</v>
      </c>
      <c r="B11" s="74" t="s">
        <v>41</v>
      </c>
      <c r="C11" s="95">
        <f t="shared" si="1"/>
        <v>24.672000000000001</v>
      </c>
      <c r="D11" s="11">
        <f t="shared" si="2"/>
        <v>5601</v>
      </c>
      <c r="E11" s="12">
        <f t="shared" si="3"/>
        <v>4562.5200000000004</v>
      </c>
      <c r="F11" s="6"/>
      <c r="G11" s="6"/>
      <c r="H11" s="14"/>
      <c r="I11" s="6"/>
      <c r="J11" s="6"/>
      <c r="K11" s="14"/>
    </row>
    <row r="12" spans="1:11" x14ac:dyDescent="0.2">
      <c r="A12" s="9">
        <f t="shared" si="0"/>
        <v>4</v>
      </c>
      <c r="B12" s="74" t="s">
        <v>42</v>
      </c>
      <c r="C12" s="10">
        <f>SUM(C11,F12,-I12)-24.672</f>
        <v>956.452</v>
      </c>
      <c r="D12" s="11">
        <f t="shared" si="2"/>
        <v>5903.4796727906896</v>
      </c>
      <c r="E12" s="12">
        <f t="shared" si="3"/>
        <v>138465.51999999999</v>
      </c>
      <c r="F12" s="93">
        <v>956.452</v>
      </c>
      <c r="G12" s="6">
        <v>5759</v>
      </c>
      <c r="H12" s="7">
        <v>133903</v>
      </c>
      <c r="I12" s="6"/>
      <c r="J12" s="6"/>
      <c r="K12" s="14"/>
    </row>
    <row r="13" spans="1:11" x14ac:dyDescent="0.2">
      <c r="A13" s="9">
        <f t="shared" si="0"/>
        <v>5</v>
      </c>
      <c r="B13" s="74" t="s">
        <v>43</v>
      </c>
      <c r="C13" s="10">
        <f t="shared" si="1"/>
        <v>3102.8219999999997</v>
      </c>
      <c r="D13" s="11">
        <v>5220</v>
      </c>
      <c r="E13" s="12">
        <f t="shared" si="3"/>
        <v>529335.35</v>
      </c>
      <c r="F13" s="93">
        <v>2646.18</v>
      </c>
      <c r="G13" s="6">
        <v>5692</v>
      </c>
      <c r="H13" s="7">
        <v>460842.83</v>
      </c>
      <c r="I13" s="93">
        <v>499.81</v>
      </c>
      <c r="J13" s="6">
        <v>4821</v>
      </c>
      <c r="K13" s="7">
        <v>69973</v>
      </c>
    </row>
    <row r="14" spans="1:11" x14ac:dyDescent="0.2">
      <c r="A14" s="9">
        <f t="shared" si="0"/>
        <v>6</v>
      </c>
      <c r="B14" s="74" t="s">
        <v>44</v>
      </c>
      <c r="C14" s="10">
        <f>SUM(C13,F14,-I14)</f>
        <v>5098.9219999999996</v>
      </c>
      <c r="D14" s="11">
        <v>5241</v>
      </c>
      <c r="E14" s="12">
        <f t="shared" si="3"/>
        <v>959621.47</v>
      </c>
      <c r="F14" s="93">
        <v>4416.2299999999996</v>
      </c>
      <c r="G14" s="6">
        <v>5692</v>
      </c>
      <c r="H14" s="7">
        <v>769104.12</v>
      </c>
      <c r="I14" s="93">
        <v>2420.13</v>
      </c>
      <c r="J14" s="6">
        <v>5046</v>
      </c>
      <c r="K14" s="7">
        <v>338818</v>
      </c>
    </row>
    <row r="15" spans="1:11" x14ac:dyDescent="0.2">
      <c r="A15" s="9">
        <f t="shared" si="0"/>
        <v>7</v>
      </c>
      <c r="B15" s="74" t="s">
        <v>45</v>
      </c>
      <c r="C15" s="10">
        <f t="shared" si="1"/>
        <v>1128.4919999999997</v>
      </c>
      <c r="D15" s="11">
        <f t="shared" si="2"/>
        <v>5121.3760948238896</v>
      </c>
      <c r="E15" s="12">
        <f t="shared" si="3"/>
        <v>403761.47</v>
      </c>
      <c r="F15" s="93"/>
      <c r="G15" s="6"/>
      <c r="H15" s="7"/>
      <c r="I15" s="93">
        <v>3970.43</v>
      </c>
      <c r="J15" s="6">
        <v>5275</v>
      </c>
      <c r="K15" s="7">
        <v>555860</v>
      </c>
    </row>
    <row r="16" spans="1:11" x14ac:dyDescent="0.2">
      <c r="A16" s="9">
        <f t="shared" si="0"/>
        <v>8</v>
      </c>
      <c r="B16" s="74" t="s">
        <v>46</v>
      </c>
      <c r="C16" s="10">
        <f t="shared" si="1"/>
        <v>1473.3019999999997</v>
      </c>
      <c r="D16" s="11">
        <v>4968</v>
      </c>
      <c r="E16" s="12">
        <f t="shared" si="3"/>
        <v>505439.56999999995</v>
      </c>
      <c r="F16" s="93">
        <v>1356.92</v>
      </c>
      <c r="G16" s="6">
        <v>5684</v>
      </c>
      <c r="H16" s="7">
        <v>243373.1</v>
      </c>
      <c r="I16" s="93">
        <v>1012.11</v>
      </c>
      <c r="J16" s="6">
        <v>5064</v>
      </c>
      <c r="K16" s="7">
        <v>141695</v>
      </c>
    </row>
    <row r="17" spans="1:11" x14ac:dyDescent="0.2">
      <c r="A17" s="9">
        <f t="shared" si="0"/>
        <v>9</v>
      </c>
      <c r="B17" s="74" t="s">
        <v>47</v>
      </c>
      <c r="C17" s="10">
        <f t="shared" si="1"/>
        <v>2473.652</v>
      </c>
      <c r="D17" s="11">
        <v>4998</v>
      </c>
      <c r="E17" s="12">
        <f t="shared" si="3"/>
        <v>708176.80999999994</v>
      </c>
      <c r="F17" s="93">
        <v>2128.8000000000002</v>
      </c>
      <c r="G17" s="6">
        <v>5786</v>
      </c>
      <c r="H17" s="7">
        <v>360720.24</v>
      </c>
      <c r="I17" s="93">
        <v>1128.45</v>
      </c>
      <c r="J17" s="6">
        <v>4862</v>
      </c>
      <c r="K17" s="7">
        <v>157983</v>
      </c>
    </row>
    <row r="18" spans="1:11" x14ac:dyDescent="0.2">
      <c r="A18" s="9">
        <f t="shared" si="0"/>
        <v>10</v>
      </c>
      <c r="B18" s="74" t="s">
        <v>48</v>
      </c>
      <c r="C18" s="10">
        <f t="shared" si="1"/>
        <v>5383.6619999999994</v>
      </c>
      <c r="D18" s="11">
        <v>5040</v>
      </c>
      <c r="E18" s="12">
        <f t="shared" si="3"/>
        <v>1369297.74</v>
      </c>
      <c r="F18" s="93">
        <v>4038.65</v>
      </c>
      <c r="G18" s="6">
        <v>5831</v>
      </c>
      <c r="H18" s="7">
        <v>877505.93</v>
      </c>
      <c r="I18" s="93">
        <v>1128.6400000000001</v>
      </c>
      <c r="J18" s="6">
        <v>4860</v>
      </c>
      <c r="K18" s="7">
        <v>216385</v>
      </c>
    </row>
    <row r="19" spans="1:11" x14ac:dyDescent="0.2">
      <c r="A19" s="9">
        <f t="shared" si="0"/>
        <v>11</v>
      </c>
      <c r="B19" s="74" t="s">
        <v>49</v>
      </c>
      <c r="C19" s="10">
        <f t="shared" si="1"/>
        <v>7386.1419999999998</v>
      </c>
      <c r="D19" s="11">
        <v>5109</v>
      </c>
      <c r="E19" s="12">
        <f t="shared" si="3"/>
        <v>1881162.8</v>
      </c>
      <c r="F19" s="93">
        <v>2851.82</v>
      </c>
      <c r="G19" s="6">
        <v>5828</v>
      </c>
      <c r="H19" s="7">
        <v>689415.06</v>
      </c>
      <c r="I19" s="93">
        <v>849.34</v>
      </c>
      <c r="J19" s="6">
        <v>4988</v>
      </c>
      <c r="K19" s="7">
        <v>177550</v>
      </c>
    </row>
    <row r="20" spans="1:11" x14ac:dyDescent="0.2">
      <c r="A20" s="9">
        <f t="shared" si="0"/>
        <v>12</v>
      </c>
      <c r="B20" s="74" t="s">
        <v>50</v>
      </c>
      <c r="C20" s="10">
        <f>SUM(C19,F20,-I20)</f>
        <v>7240.192</v>
      </c>
      <c r="D20" s="11">
        <v>5114</v>
      </c>
      <c r="E20" s="12">
        <f t="shared" si="3"/>
        <v>1602665.58</v>
      </c>
      <c r="F20" s="93">
        <v>1142.26</v>
      </c>
      <c r="G20" s="6">
        <v>5731</v>
      </c>
      <c r="H20" s="7">
        <v>332398.78000000003</v>
      </c>
      <c r="I20" s="93">
        <v>1288.21</v>
      </c>
      <c r="J20" s="6">
        <v>4960</v>
      </c>
      <c r="K20" s="7">
        <v>610896</v>
      </c>
    </row>
    <row r="21" spans="1:11" x14ac:dyDescent="0.2">
      <c r="A21" s="9">
        <f>IF(A20=12,1,A20+1)</f>
        <v>1</v>
      </c>
      <c r="B21" s="74" t="s">
        <v>51</v>
      </c>
      <c r="C21" s="10">
        <f t="shared" si="1"/>
        <v>6189.9920000000002</v>
      </c>
      <c r="D21" s="11">
        <v>4968</v>
      </c>
      <c r="E21" s="12">
        <f t="shared" si="3"/>
        <v>1381016.54</v>
      </c>
      <c r="F21" s="93">
        <v>186.96</v>
      </c>
      <c r="G21" s="6">
        <v>5712</v>
      </c>
      <c r="H21" s="113">
        <v>52094.53</v>
      </c>
      <c r="I21" s="93">
        <v>1237.1600000000001</v>
      </c>
      <c r="J21" s="6">
        <v>4823</v>
      </c>
      <c r="K21" s="7">
        <v>273743.57</v>
      </c>
    </row>
    <row r="22" spans="1:11" x14ac:dyDescent="0.2">
      <c r="A22" s="9">
        <f t="shared" si="0"/>
        <v>2</v>
      </c>
      <c r="B22" s="74" t="s">
        <v>90</v>
      </c>
      <c r="C22" s="10">
        <f t="shared" si="1"/>
        <v>5405.3120000000008</v>
      </c>
      <c r="D22" s="11">
        <v>5028</v>
      </c>
      <c r="E22" s="12">
        <f t="shared" si="3"/>
        <v>1223201.7000000002</v>
      </c>
      <c r="F22" s="93">
        <v>369.77</v>
      </c>
      <c r="G22" s="6">
        <v>5695</v>
      </c>
      <c r="H22" s="7">
        <v>107535.09</v>
      </c>
      <c r="I22" s="93">
        <v>1154.45</v>
      </c>
      <c r="J22" s="6">
        <v>4879</v>
      </c>
      <c r="K22" s="7">
        <v>265349.93</v>
      </c>
    </row>
    <row r="23" spans="1:11" x14ac:dyDescent="0.2">
      <c r="A23" s="9">
        <f t="shared" si="0"/>
        <v>3</v>
      </c>
      <c r="B23" s="74" t="s">
        <v>108</v>
      </c>
      <c r="C23" s="10">
        <f t="shared" si="1"/>
        <v>4923.4720000000007</v>
      </c>
      <c r="D23" s="11">
        <f t="shared" si="2"/>
        <v>5116.1125189703525</v>
      </c>
      <c r="E23" s="12">
        <f t="shared" si="3"/>
        <v>1174679.2700000003</v>
      </c>
      <c r="F23" s="93">
        <v>620.24</v>
      </c>
      <c r="G23" s="6">
        <v>5500</v>
      </c>
      <c r="H23" s="7">
        <v>213762.5</v>
      </c>
      <c r="I23" s="93">
        <v>1102.08</v>
      </c>
      <c r="J23" s="6">
        <v>4900</v>
      </c>
      <c r="K23" s="7">
        <v>262284.93</v>
      </c>
    </row>
    <row r="24" spans="1:11" s="105" customFormat="1" x14ac:dyDescent="0.2">
      <c r="A24" s="9">
        <v>3</v>
      </c>
      <c r="B24" s="74" t="s">
        <v>108</v>
      </c>
      <c r="C24" s="10">
        <f t="shared" ref="C24" si="4">SUM(C23,F24,-I24)</f>
        <v>9854.9020000000019</v>
      </c>
      <c r="D24" s="11">
        <f t="shared" ref="D24" si="5">IF(C24=0,0,SUM(C23*D23,F24*G24-I24*J24)/C24)</f>
        <v>5308.2112573011882</v>
      </c>
      <c r="E24" s="12">
        <f t="shared" ref="E24" si="6">SUM(E23,H24,-K24)</f>
        <v>3219511.2700000005</v>
      </c>
      <c r="F24" s="93">
        <v>4931.43</v>
      </c>
      <c r="G24" s="6">
        <v>5500</v>
      </c>
      <c r="H24" s="7">
        <v>2044832</v>
      </c>
      <c r="I24" s="93"/>
      <c r="J24" s="6"/>
      <c r="K24" s="7"/>
    </row>
    <row r="25" spans="1:11" x14ac:dyDescent="0.2">
      <c r="A25" s="3"/>
      <c r="B25" s="3"/>
      <c r="C25" s="3"/>
      <c r="D25" s="3"/>
      <c r="E25" s="98">
        <f>E24/C24</f>
        <v>326.69135319661217</v>
      </c>
      <c r="F25" s="13"/>
      <c r="G25" s="3"/>
      <c r="H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4" t="s">
        <v>24</v>
      </c>
      <c r="E29" s="3"/>
      <c r="F29" s="3"/>
      <c r="G29" s="3"/>
      <c r="H29" s="4" t="s">
        <v>54</v>
      </c>
      <c r="I29" s="3"/>
      <c r="J29" s="3"/>
      <c r="K29" s="96"/>
    </row>
    <row r="30" spans="1:11" x14ac:dyDescent="0.2">
      <c r="A30" s="3"/>
      <c r="B30" s="3"/>
      <c r="C30" s="3"/>
      <c r="D30" s="3"/>
      <c r="E30" s="122" t="s">
        <v>96</v>
      </c>
      <c r="F30" s="122"/>
      <c r="G30" s="3"/>
      <c r="H30" s="3"/>
      <c r="I30" s="122" t="s">
        <v>95</v>
      </c>
      <c r="J30" s="122"/>
      <c r="K30" s="3"/>
    </row>
    <row r="31" spans="1:11" x14ac:dyDescent="0.2"/>
    <row r="32" spans="1:11" x14ac:dyDescent="0.2"/>
    <row r="33" spans="7:7" x14ac:dyDescent="0.2"/>
    <row r="34" spans="7:7" x14ac:dyDescent="0.2"/>
    <row r="35" spans="7:7" x14ac:dyDescent="0.2">
      <c r="G35" s="2"/>
    </row>
    <row r="36" spans="7:7" ht="12.75" customHeight="1" x14ac:dyDescent="0.2"/>
    <row r="37" spans="7:7" ht="12.75" customHeight="1" x14ac:dyDescent="0.2"/>
    <row r="38" spans="7:7" ht="12.75" customHeight="1" x14ac:dyDescent="0.2"/>
    <row r="39" spans="7:7" ht="12.75" customHeight="1" x14ac:dyDescent="0.2"/>
    <row r="40" spans="7:7" ht="12.75" customHeight="1" x14ac:dyDescent="0.2"/>
  </sheetData>
  <mergeCells count="7">
    <mergeCell ref="E30:F30"/>
    <mergeCell ref="I30:J30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fitToHeight="0" orientation="landscape" r:id="rId1"/>
  <headerFooter alignWithMargins="0"/>
  <ignoredErrors>
    <ignoredError sqref="D9:D12 D15 D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I25" sqref="I25:I27"/>
    </sheetView>
  </sheetViews>
  <sheetFormatPr defaultColWidth="0" defaultRowHeight="12.75" customHeight="1" zeroHeight="1" x14ac:dyDescent="0.2"/>
  <cols>
    <col min="1" max="1" width="10.42578125" customWidth="1"/>
    <col min="2" max="2" width="12" bestFit="1" customWidth="1"/>
    <col min="3" max="3" width="10.42578125" bestFit="1" customWidth="1"/>
    <col min="4" max="4" width="12" bestFit="1" customWidth="1"/>
    <col min="5" max="5" width="13.5703125" customWidth="1"/>
    <col min="6" max="6" width="11.140625" bestFit="1" customWidth="1"/>
    <col min="7" max="7" width="12" bestFit="1" customWidth="1"/>
    <col min="8" max="8" width="13.5703125" customWidth="1"/>
    <col min="9" max="9" width="10.42578125" bestFit="1" customWidth="1"/>
    <col min="10" max="10" width="12" bestFit="1" customWidth="1"/>
    <col min="11" max="11" width="13.5703125" customWidth="1"/>
    <col min="12" max="12" width="12.140625" customWidth="1"/>
  </cols>
  <sheetData>
    <row r="1" spans="1:12" x14ac:dyDescent="0.2">
      <c r="A1" s="3"/>
      <c r="B1" s="4" t="s">
        <v>27</v>
      </c>
      <c r="C1" s="122" t="s">
        <v>97</v>
      </c>
      <c r="D1" s="122"/>
      <c r="E1" s="122"/>
      <c r="F1" s="122"/>
      <c r="G1" s="122"/>
      <c r="H1" s="122"/>
      <c r="I1" s="122"/>
      <c r="J1" s="3"/>
      <c r="K1" s="1" t="s">
        <v>1</v>
      </c>
    </row>
    <row r="2" spans="1:1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2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x14ac:dyDescent="0.2">
      <c r="A5" s="123" t="s">
        <v>28</v>
      </c>
      <c r="B5" s="124"/>
      <c r="C5" s="127" t="s">
        <v>29</v>
      </c>
      <c r="D5" s="127"/>
      <c r="E5" s="127"/>
      <c r="F5" s="127" t="s">
        <v>30</v>
      </c>
      <c r="G5" s="127"/>
      <c r="H5" s="127"/>
      <c r="I5" s="127" t="s">
        <v>31</v>
      </c>
      <c r="J5" s="127"/>
      <c r="K5" s="127"/>
    </row>
    <row r="6" spans="1:12" x14ac:dyDescent="0.2">
      <c r="A6" s="125"/>
      <c r="B6" s="126"/>
      <c r="C6" s="103" t="s">
        <v>32</v>
      </c>
      <c r="D6" s="103" t="s">
        <v>33</v>
      </c>
      <c r="E6" s="103" t="s">
        <v>34</v>
      </c>
      <c r="F6" s="103" t="s">
        <v>32</v>
      </c>
      <c r="G6" s="103" t="s">
        <v>33</v>
      </c>
      <c r="H6" s="103" t="s">
        <v>34</v>
      </c>
      <c r="I6" s="103" t="s">
        <v>32</v>
      </c>
      <c r="J6" s="103" t="s">
        <v>33</v>
      </c>
      <c r="K6" s="103" t="s">
        <v>34</v>
      </c>
    </row>
    <row r="7" spans="1:12" x14ac:dyDescent="0.2">
      <c r="A7" s="5" t="s">
        <v>35</v>
      </c>
      <c r="B7" s="5" t="s">
        <v>36</v>
      </c>
      <c r="C7" s="103" t="s">
        <v>15</v>
      </c>
      <c r="D7" s="103" t="s">
        <v>16</v>
      </c>
      <c r="E7" s="103" t="s">
        <v>37</v>
      </c>
      <c r="F7" s="103" t="s">
        <v>15</v>
      </c>
      <c r="G7" s="103" t="s">
        <v>16</v>
      </c>
      <c r="H7" s="103" t="s">
        <v>37</v>
      </c>
      <c r="I7" s="103" t="s">
        <v>15</v>
      </c>
      <c r="J7" s="103" t="s">
        <v>16</v>
      </c>
      <c r="K7" s="103" t="s">
        <v>37</v>
      </c>
    </row>
    <row r="8" spans="1:12" x14ac:dyDescent="0.2">
      <c r="A8" s="9">
        <v>12</v>
      </c>
      <c r="B8" s="74" t="s">
        <v>38</v>
      </c>
      <c r="C8" s="94">
        <v>24.672000000000001</v>
      </c>
      <c r="D8" s="6">
        <v>5601</v>
      </c>
      <c r="E8" s="7">
        <v>4562.5200000000004</v>
      </c>
      <c r="F8" s="8"/>
      <c r="G8" s="8"/>
      <c r="H8" s="8"/>
      <c r="I8" s="8"/>
      <c r="J8" s="8"/>
      <c r="K8" s="8"/>
    </row>
    <row r="9" spans="1:12" x14ac:dyDescent="0.2">
      <c r="A9" s="9">
        <f>IF(A8=12,1,A8+1)</f>
        <v>1</v>
      </c>
      <c r="B9" s="74" t="s">
        <v>39</v>
      </c>
      <c r="C9" s="95">
        <v>24.672000000000001</v>
      </c>
      <c r="D9" s="11">
        <f>IF(C9=0,0,SUM(C8*D8,F9*G9-I9*J9)/C9)</f>
        <v>5601</v>
      </c>
      <c r="E9" s="12">
        <f>SUM(E8,H9,-K9)</f>
        <v>4562.5200000000004</v>
      </c>
      <c r="F9" s="6"/>
      <c r="G9" s="6"/>
      <c r="H9" s="14"/>
      <c r="I9" s="6"/>
      <c r="J9" s="6"/>
      <c r="K9" s="14"/>
    </row>
    <row r="10" spans="1:12" x14ac:dyDescent="0.2">
      <c r="A10" s="9">
        <f t="shared" ref="A10:A23" si="0">IF(A9=12,1,A9+1)</f>
        <v>2</v>
      </c>
      <c r="B10" s="74" t="s">
        <v>40</v>
      </c>
      <c r="C10" s="95">
        <f t="shared" ref="C10:C24" si="1">SUM(C9,F10,-I10)</f>
        <v>24.672000000000001</v>
      </c>
      <c r="D10" s="11">
        <f t="shared" ref="D10:D24" si="2">IF(C10=0,0,SUM(C9*D9,F10*G10-I10*J10)/C10)</f>
        <v>5601</v>
      </c>
      <c r="E10" s="12">
        <f t="shared" ref="E10:E24" si="3">SUM(E9,H10,-K10)</f>
        <v>4562.5200000000004</v>
      </c>
      <c r="F10" s="6"/>
      <c r="G10" s="6"/>
      <c r="H10" s="14"/>
      <c r="I10" s="6"/>
      <c r="J10" s="6"/>
      <c r="K10" s="14"/>
    </row>
    <row r="11" spans="1:12" x14ac:dyDescent="0.2">
      <c r="A11" s="9">
        <f t="shared" si="0"/>
        <v>3</v>
      </c>
      <c r="B11" s="74" t="s">
        <v>41</v>
      </c>
      <c r="C11" s="95">
        <f t="shared" si="1"/>
        <v>24.672000000000001</v>
      </c>
      <c r="D11" s="11">
        <f t="shared" si="2"/>
        <v>5601</v>
      </c>
      <c r="E11" s="12">
        <f t="shared" si="3"/>
        <v>4562.5200000000004</v>
      </c>
      <c r="F11" s="6"/>
      <c r="G11" s="6"/>
      <c r="H11" s="14"/>
      <c r="I11" s="6"/>
      <c r="J11" s="6"/>
      <c r="K11" s="14"/>
    </row>
    <row r="12" spans="1:12" x14ac:dyDescent="0.2">
      <c r="A12" s="9">
        <f t="shared" si="0"/>
        <v>4</v>
      </c>
      <c r="B12" s="74" t="s">
        <v>42</v>
      </c>
      <c r="C12" s="10">
        <f>SUM(C11,F12,-I12)-24.672</f>
        <v>956.452</v>
      </c>
      <c r="D12" s="11">
        <f t="shared" si="2"/>
        <v>5903.4796727906896</v>
      </c>
      <c r="E12" s="12">
        <f t="shared" si="3"/>
        <v>138465.51999999999</v>
      </c>
      <c r="F12" s="93">
        <v>956.452</v>
      </c>
      <c r="G12" s="6">
        <v>5759</v>
      </c>
      <c r="H12" s="14">
        <v>133903</v>
      </c>
      <c r="I12" s="6"/>
      <c r="J12" s="6"/>
      <c r="K12" s="14"/>
    </row>
    <row r="13" spans="1:12" x14ac:dyDescent="0.2">
      <c r="A13" s="9">
        <f t="shared" si="0"/>
        <v>5</v>
      </c>
      <c r="B13" s="74" t="s">
        <v>43</v>
      </c>
      <c r="C13" s="10">
        <f t="shared" si="1"/>
        <v>3102.8219999999997</v>
      </c>
      <c r="D13" s="11">
        <v>5220</v>
      </c>
      <c r="E13" s="12">
        <f t="shared" si="3"/>
        <v>529335.35</v>
      </c>
      <c r="F13" s="93">
        <v>2646.18</v>
      </c>
      <c r="G13" s="6">
        <v>5692</v>
      </c>
      <c r="H13" s="14">
        <v>460842.83</v>
      </c>
      <c r="I13" s="93">
        <v>499.81</v>
      </c>
      <c r="J13" s="6">
        <v>4821</v>
      </c>
      <c r="K13" s="7">
        <v>69973</v>
      </c>
    </row>
    <row r="14" spans="1:12" x14ac:dyDescent="0.2">
      <c r="A14" s="9">
        <f t="shared" si="0"/>
        <v>6</v>
      </c>
      <c r="B14" s="74" t="s">
        <v>44</v>
      </c>
      <c r="C14" s="10">
        <f>SUM(C13,F14,-I14)</f>
        <v>5098.9219999999996</v>
      </c>
      <c r="D14" s="11">
        <v>5241</v>
      </c>
      <c r="E14" s="12">
        <f t="shared" si="3"/>
        <v>959621.47</v>
      </c>
      <c r="F14" s="93">
        <v>4416.2299999999996</v>
      </c>
      <c r="G14" s="6">
        <v>5692</v>
      </c>
      <c r="H14" s="14">
        <v>769104.12</v>
      </c>
      <c r="I14" s="93">
        <v>2420.13</v>
      </c>
      <c r="J14" s="6">
        <v>5046</v>
      </c>
      <c r="K14" s="7">
        <v>338818</v>
      </c>
      <c r="L14" s="105"/>
    </row>
    <row r="15" spans="1:12" x14ac:dyDescent="0.2">
      <c r="A15" s="9">
        <f t="shared" si="0"/>
        <v>7</v>
      </c>
      <c r="B15" s="74" t="s">
        <v>45</v>
      </c>
      <c r="C15" s="10">
        <f t="shared" si="1"/>
        <v>1128.4919999999997</v>
      </c>
      <c r="D15" s="11">
        <f t="shared" si="2"/>
        <v>5121.3760948238896</v>
      </c>
      <c r="E15" s="12">
        <f t="shared" si="3"/>
        <v>403761.47</v>
      </c>
      <c r="F15" s="93"/>
      <c r="G15" s="6"/>
      <c r="H15" s="14"/>
      <c r="I15" s="93">
        <v>3970.43</v>
      </c>
      <c r="J15" s="6">
        <v>5275</v>
      </c>
      <c r="K15" s="7">
        <v>555860</v>
      </c>
      <c r="L15" s="105"/>
    </row>
    <row r="16" spans="1:12" x14ac:dyDescent="0.2">
      <c r="A16" s="9">
        <f t="shared" si="0"/>
        <v>8</v>
      </c>
      <c r="B16" s="74" t="s">
        <v>46</v>
      </c>
      <c r="C16" s="10">
        <f t="shared" si="1"/>
        <v>1473.3019999999997</v>
      </c>
      <c r="D16" s="11">
        <v>4968</v>
      </c>
      <c r="E16" s="12">
        <f t="shared" si="3"/>
        <v>505439.56999999995</v>
      </c>
      <c r="F16" s="93">
        <v>1356.92</v>
      </c>
      <c r="G16" s="6">
        <v>5684</v>
      </c>
      <c r="H16" s="14">
        <v>243373.1</v>
      </c>
      <c r="I16" s="93">
        <v>1012.11</v>
      </c>
      <c r="J16" s="6">
        <v>5064</v>
      </c>
      <c r="K16" s="7">
        <v>141695</v>
      </c>
      <c r="L16" s="105"/>
    </row>
    <row r="17" spans="1:12" x14ac:dyDescent="0.2">
      <c r="A17" s="9">
        <f t="shared" si="0"/>
        <v>9</v>
      </c>
      <c r="B17" s="74" t="s">
        <v>47</v>
      </c>
      <c r="C17" s="10">
        <f t="shared" si="1"/>
        <v>2473.652</v>
      </c>
      <c r="D17" s="11">
        <v>4998</v>
      </c>
      <c r="E17" s="12">
        <f t="shared" si="3"/>
        <v>708176.80999999994</v>
      </c>
      <c r="F17" s="93">
        <v>2128.8000000000002</v>
      </c>
      <c r="G17" s="6">
        <v>5786</v>
      </c>
      <c r="H17" s="14">
        <v>360720.24</v>
      </c>
      <c r="I17" s="93">
        <v>1128.45</v>
      </c>
      <c r="J17" s="6">
        <v>4862</v>
      </c>
      <c r="K17" s="7">
        <v>157983</v>
      </c>
      <c r="L17" s="105"/>
    </row>
    <row r="18" spans="1:12" x14ac:dyDescent="0.2">
      <c r="A18" s="9">
        <f t="shared" si="0"/>
        <v>10</v>
      </c>
      <c r="B18" s="74" t="s">
        <v>48</v>
      </c>
      <c r="C18" s="10">
        <f t="shared" si="1"/>
        <v>5383.6619999999994</v>
      </c>
      <c r="D18" s="11">
        <v>5040</v>
      </c>
      <c r="E18" s="12">
        <f t="shared" si="3"/>
        <v>1369297.74</v>
      </c>
      <c r="F18" s="93">
        <v>4038.65</v>
      </c>
      <c r="G18" s="6">
        <v>5831</v>
      </c>
      <c r="H18" s="14">
        <v>877505.93</v>
      </c>
      <c r="I18" s="93">
        <v>1128.6400000000001</v>
      </c>
      <c r="J18" s="6">
        <v>4860</v>
      </c>
      <c r="K18" s="7">
        <v>216385</v>
      </c>
      <c r="L18" s="105"/>
    </row>
    <row r="19" spans="1:12" x14ac:dyDescent="0.2">
      <c r="A19" s="9">
        <f t="shared" si="0"/>
        <v>11</v>
      </c>
      <c r="B19" s="74" t="s">
        <v>49</v>
      </c>
      <c r="C19" s="10">
        <f t="shared" si="1"/>
        <v>7386.1419999999998</v>
      </c>
      <c r="D19" s="11">
        <v>5109</v>
      </c>
      <c r="E19" s="12">
        <f t="shared" si="3"/>
        <v>1881162.8</v>
      </c>
      <c r="F19" s="93">
        <v>2851.82</v>
      </c>
      <c r="G19" s="6">
        <v>5828</v>
      </c>
      <c r="H19" s="14">
        <v>689415.06</v>
      </c>
      <c r="I19" s="93">
        <v>849.34</v>
      </c>
      <c r="J19" s="6">
        <v>4988</v>
      </c>
      <c r="K19" s="7">
        <v>177550</v>
      </c>
      <c r="L19" s="105"/>
    </row>
    <row r="20" spans="1:12" x14ac:dyDescent="0.2">
      <c r="A20" s="9">
        <f t="shared" si="0"/>
        <v>12</v>
      </c>
      <c r="B20" s="74" t="s">
        <v>50</v>
      </c>
      <c r="C20" s="10">
        <f>SUM(C19,F20,-I20)</f>
        <v>7240.192</v>
      </c>
      <c r="D20" s="11">
        <v>5114</v>
      </c>
      <c r="E20" s="12">
        <f t="shared" si="3"/>
        <v>1602665.58</v>
      </c>
      <c r="F20" s="93">
        <v>1142.26</v>
      </c>
      <c r="G20" s="6">
        <v>5731</v>
      </c>
      <c r="H20" s="14">
        <v>332398.78000000003</v>
      </c>
      <c r="I20" s="93">
        <v>1288.21</v>
      </c>
      <c r="J20" s="6">
        <v>4960</v>
      </c>
      <c r="K20" s="7">
        <v>610896</v>
      </c>
      <c r="L20" s="105"/>
    </row>
    <row r="21" spans="1:12" x14ac:dyDescent="0.2">
      <c r="A21" s="9">
        <f>IF(A20=12,1,A20+1)</f>
        <v>1</v>
      </c>
      <c r="B21" s="74" t="s">
        <v>51</v>
      </c>
      <c r="C21" s="10">
        <f t="shared" si="1"/>
        <v>6189.9920000000002</v>
      </c>
      <c r="D21" s="11">
        <v>4968</v>
      </c>
      <c r="E21" s="12">
        <f t="shared" si="3"/>
        <v>1381016.54</v>
      </c>
      <c r="F21" s="93">
        <v>186.96</v>
      </c>
      <c r="G21" s="6">
        <v>5712</v>
      </c>
      <c r="H21" s="97">
        <v>52094.53</v>
      </c>
      <c r="I21" s="93">
        <v>1237.1600000000001</v>
      </c>
      <c r="J21" s="6">
        <v>4823</v>
      </c>
      <c r="K21" s="7">
        <v>273743.57</v>
      </c>
      <c r="L21" s="105"/>
    </row>
    <row r="22" spans="1:12" x14ac:dyDescent="0.2">
      <c r="A22" s="9">
        <f t="shared" si="0"/>
        <v>2</v>
      </c>
      <c r="B22" s="74" t="s">
        <v>90</v>
      </c>
      <c r="C22" s="10">
        <f t="shared" si="1"/>
        <v>5405.3120000000008</v>
      </c>
      <c r="D22" s="11">
        <v>5028</v>
      </c>
      <c r="E22" s="12">
        <f t="shared" si="3"/>
        <v>1223201.7000000002</v>
      </c>
      <c r="F22" s="93">
        <v>369.77</v>
      </c>
      <c r="G22" s="6">
        <v>5695</v>
      </c>
      <c r="H22" s="7">
        <v>107535.09</v>
      </c>
      <c r="I22" s="93">
        <v>1154.45</v>
      </c>
      <c r="J22" s="6">
        <v>4879</v>
      </c>
      <c r="K22" s="7">
        <v>265349.93</v>
      </c>
      <c r="L22" s="105"/>
    </row>
    <row r="23" spans="1:12" x14ac:dyDescent="0.2">
      <c r="A23" s="9">
        <f t="shared" si="0"/>
        <v>3</v>
      </c>
      <c r="B23" s="74" t="s">
        <v>108</v>
      </c>
      <c r="C23" s="10">
        <f t="shared" si="1"/>
        <v>4923.4720000000007</v>
      </c>
      <c r="D23" s="11">
        <f t="shared" si="2"/>
        <v>5116.1125189703525</v>
      </c>
      <c r="E23" s="12">
        <f t="shared" si="3"/>
        <v>1174679.2700000003</v>
      </c>
      <c r="F23" s="93">
        <v>620.24</v>
      </c>
      <c r="G23" s="6">
        <v>5500</v>
      </c>
      <c r="H23" s="7">
        <v>213762.5</v>
      </c>
      <c r="I23" s="93">
        <v>1102.08</v>
      </c>
      <c r="J23" s="6">
        <v>4900</v>
      </c>
      <c r="K23" s="7">
        <v>262284.93</v>
      </c>
      <c r="L23" s="105"/>
    </row>
    <row r="24" spans="1:12" s="105" customFormat="1" x14ac:dyDescent="0.2">
      <c r="A24" s="9">
        <v>3</v>
      </c>
      <c r="B24" s="74" t="s">
        <v>108</v>
      </c>
      <c r="C24" s="10">
        <f t="shared" si="1"/>
        <v>9854.9020000000019</v>
      </c>
      <c r="D24" s="11">
        <f t="shared" si="2"/>
        <v>5308.2112573011882</v>
      </c>
      <c r="E24" s="12">
        <f t="shared" si="3"/>
        <v>3219511.2700000005</v>
      </c>
      <c r="F24" s="93">
        <v>4931.43</v>
      </c>
      <c r="G24" s="6">
        <v>5500</v>
      </c>
      <c r="H24" s="7">
        <v>2044832</v>
      </c>
      <c r="I24" s="93"/>
      <c r="J24" s="6"/>
      <c r="K24" s="7"/>
    </row>
    <row r="25" spans="1:12" x14ac:dyDescent="0.2">
      <c r="A25" s="9">
        <v>4</v>
      </c>
      <c r="B25" s="74"/>
      <c r="C25" s="10"/>
      <c r="D25" s="11"/>
      <c r="E25" s="12"/>
      <c r="F25" s="6"/>
      <c r="G25" s="6"/>
      <c r="H25" s="7"/>
      <c r="I25" s="6">
        <v>4576</v>
      </c>
      <c r="J25" s="6">
        <v>5100</v>
      </c>
      <c r="K25" s="7"/>
      <c r="L25" s="105"/>
    </row>
    <row r="26" spans="1:12" x14ac:dyDescent="0.2">
      <c r="A26" s="9">
        <v>5</v>
      </c>
      <c r="B26" s="74"/>
      <c r="C26" s="10"/>
      <c r="D26" s="11"/>
      <c r="E26" s="12"/>
      <c r="F26" s="6"/>
      <c r="G26" s="6"/>
      <c r="H26" s="7"/>
      <c r="I26" s="6">
        <v>4311.92</v>
      </c>
      <c r="J26" s="6">
        <v>5100</v>
      </c>
      <c r="K26" s="7"/>
      <c r="L26" s="105"/>
    </row>
    <row r="27" spans="1:12" x14ac:dyDescent="0.2">
      <c r="A27" s="9">
        <v>6</v>
      </c>
      <c r="B27" s="74"/>
      <c r="C27" s="10"/>
      <c r="D27" s="11"/>
      <c r="E27" s="12"/>
      <c r="F27" s="6"/>
      <c r="G27" s="6"/>
      <c r="H27" s="7"/>
      <c r="I27" s="6">
        <v>1204</v>
      </c>
      <c r="J27" s="6">
        <v>5100</v>
      </c>
      <c r="K27" s="7"/>
      <c r="L27" s="105"/>
    </row>
    <row r="28" spans="1:12" x14ac:dyDescent="0.2">
      <c r="A28" s="3"/>
      <c r="B28" s="3"/>
      <c r="C28" s="3"/>
      <c r="D28" s="3"/>
      <c r="E28" s="98"/>
      <c r="F28" s="13"/>
      <c r="G28" s="3"/>
      <c r="H28" s="3"/>
      <c r="I28" s="112"/>
      <c r="J28" s="3"/>
      <c r="K28" s="3"/>
    </row>
    <row r="29" spans="1:12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2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2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2" x14ac:dyDescent="0.2">
      <c r="A32" s="3"/>
      <c r="B32" s="3"/>
      <c r="C32" s="3"/>
      <c r="D32" s="4" t="s">
        <v>24</v>
      </c>
      <c r="E32" s="3"/>
      <c r="F32" s="3"/>
      <c r="G32" s="3"/>
      <c r="H32" s="4" t="s">
        <v>54</v>
      </c>
      <c r="I32" s="3"/>
      <c r="J32" s="3"/>
      <c r="K32" s="96"/>
    </row>
    <row r="33" spans="1:11" x14ac:dyDescent="0.2">
      <c r="A33" s="3"/>
      <c r="B33" s="3"/>
      <c r="C33" s="3"/>
      <c r="D33" s="3"/>
      <c r="E33" s="122" t="s">
        <v>96</v>
      </c>
      <c r="F33" s="122"/>
      <c r="G33" s="106"/>
      <c r="H33" s="106"/>
      <c r="I33" s="122" t="s">
        <v>95</v>
      </c>
      <c r="J33" s="122"/>
      <c r="K33" s="3"/>
    </row>
    <row r="34" spans="1:11" x14ac:dyDescent="0.2"/>
    <row r="35" spans="1:11" x14ac:dyDescent="0.2"/>
    <row r="36" spans="1:11" x14ac:dyDescent="0.2"/>
    <row r="37" spans="1:11" x14ac:dyDescent="0.2"/>
    <row r="38" spans="1:11" x14ac:dyDescent="0.2">
      <c r="G38" s="2"/>
    </row>
    <row r="39" spans="1:11" ht="12.75" customHeight="1" x14ac:dyDescent="0.2"/>
    <row r="40" spans="1:11" ht="12.75" customHeight="1" x14ac:dyDescent="0.2"/>
    <row r="41" spans="1:11" ht="12.75" customHeight="1" x14ac:dyDescent="0.2"/>
    <row r="42" spans="1:11" ht="12.75" customHeight="1" x14ac:dyDescent="0.2"/>
    <row r="43" spans="1:11" ht="12.75" customHeight="1" x14ac:dyDescent="0.2"/>
    <row r="44" spans="1:11" ht="12.75" customHeight="1" x14ac:dyDescent="0.2"/>
  </sheetData>
  <mergeCells count="7">
    <mergeCell ref="E33:F33"/>
    <mergeCell ref="I33:J33"/>
    <mergeCell ref="C1:I1"/>
    <mergeCell ref="A5:B6"/>
    <mergeCell ref="C5:E5"/>
    <mergeCell ref="F5:H5"/>
    <mergeCell ref="I5:K5"/>
  </mergeCells>
  <pageMargins left="0.75" right="0.75" top="1" bottom="1" header="0.5" footer="0.5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13" workbookViewId="0">
      <selection activeCell="E29" sqref="E29:J29"/>
    </sheetView>
  </sheetViews>
  <sheetFormatPr defaultColWidth="0" defaultRowHeight="12.75" customHeight="1" zeroHeight="1" x14ac:dyDescent="0.2"/>
  <cols>
    <col min="1" max="1" width="10.42578125" customWidth="1"/>
    <col min="2" max="2" width="12" bestFit="1" customWidth="1"/>
    <col min="3" max="3" width="10.42578125" bestFit="1" customWidth="1"/>
    <col min="4" max="4" width="12" bestFit="1" customWidth="1"/>
    <col min="5" max="5" width="13.5703125" customWidth="1"/>
    <col min="6" max="6" width="10.42578125" bestFit="1" customWidth="1"/>
    <col min="7" max="7" width="12" bestFit="1" customWidth="1"/>
    <col min="8" max="8" width="13.5703125" customWidth="1"/>
    <col min="9" max="9" width="10.42578125" bestFit="1" customWidth="1"/>
    <col min="10" max="10" width="12" bestFit="1" customWidth="1"/>
    <col min="11" max="11" width="13.5703125" customWidth="1"/>
    <col min="12" max="12" width="9.140625" customWidth="1"/>
  </cols>
  <sheetData>
    <row r="1" spans="1:11" x14ac:dyDescent="0.2">
      <c r="A1" s="3"/>
      <c r="B1" s="4" t="s">
        <v>27</v>
      </c>
      <c r="C1" s="122"/>
      <c r="D1" s="122"/>
      <c r="E1" s="122"/>
      <c r="F1" s="122"/>
      <c r="G1" s="122"/>
      <c r="H1" s="122"/>
      <c r="I1" s="122"/>
      <c r="J1" s="3"/>
      <c r="K1" s="1" t="s">
        <v>1</v>
      </c>
    </row>
    <row r="2" spans="1:1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123" t="s">
        <v>55</v>
      </c>
      <c r="B5" s="124"/>
      <c r="C5" s="127" t="s">
        <v>29</v>
      </c>
      <c r="D5" s="127"/>
      <c r="E5" s="127"/>
      <c r="F5" s="127" t="s">
        <v>30</v>
      </c>
      <c r="G5" s="127"/>
      <c r="H5" s="127"/>
      <c r="I5" s="127" t="s">
        <v>31</v>
      </c>
      <c r="J5" s="127"/>
      <c r="K5" s="127"/>
    </row>
    <row r="6" spans="1:11" x14ac:dyDescent="0.2">
      <c r="A6" s="125"/>
      <c r="B6" s="126"/>
      <c r="C6" s="89" t="s">
        <v>32</v>
      </c>
      <c r="D6" s="89" t="s">
        <v>33</v>
      </c>
      <c r="E6" s="89" t="s">
        <v>34</v>
      </c>
      <c r="F6" s="89" t="s">
        <v>32</v>
      </c>
      <c r="G6" s="89" t="s">
        <v>33</v>
      </c>
      <c r="H6" s="89" t="s">
        <v>34</v>
      </c>
      <c r="I6" s="89" t="s">
        <v>32</v>
      </c>
      <c r="J6" s="89" t="s">
        <v>33</v>
      </c>
      <c r="K6" s="89" t="s">
        <v>34</v>
      </c>
    </row>
    <row r="7" spans="1:11" x14ac:dyDescent="0.2">
      <c r="A7" s="5" t="s">
        <v>35</v>
      </c>
      <c r="B7" s="5" t="s">
        <v>36</v>
      </c>
      <c r="C7" s="89" t="s">
        <v>15</v>
      </c>
      <c r="D7" s="89" t="s">
        <v>16</v>
      </c>
      <c r="E7" s="89" t="s">
        <v>37</v>
      </c>
      <c r="F7" s="89" t="s">
        <v>15</v>
      </c>
      <c r="G7" s="89" t="s">
        <v>16</v>
      </c>
      <c r="H7" s="89" t="s">
        <v>37</v>
      </c>
      <c r="I7" s="89" t="s">
        <v>15</v>
      </c>
      <c r="J7" s="89" t="s">
        <v>16</v>
      </c>
      <c r="K7" s="89" t="s">
        <v>37</v>
      </c>
    </row>
    <row r="8" spans="1:11" x14ac:dyDescent="0.2">
      <c r="A8" s="9">
        <v>12</v>
      </c>
      <c r="B8" s="74" t="s">
        <v>38</v>
      </c>
      <c r="C8" s="6"/>
      <c r="D8" s="6"/>
      <c r="E8" s="7"/>
      <c r="F8" s="8"/>
      <c r="G8" s="8"/>
      <c r="H8" s="8"/>
      <c r="I8" s="8"/>
      <c r="J8" s="8"/>
      <c r="K8" s="8"/>
    </row>
    <row r="9" spans="1:11" x14ac:dyDescent="0.2">
      <c r="A9" s="9">
        <f>IF(A8=12,1,A8+1)</f>
        <v>1</v>
      </c>
      <c r="B9" s="74" t="s">
        <v>39</v>
      </c>
      <c r="C9" s="10">
        <f>SUM(C8,F9,-I9)</f>
        <v>0</v>
      </c>
      <c r="D9" s="11">
        <f>IF(C9=0,0,SUM(C8*D8,F9*G9-I9*J9)/C9)</f>
        <v>0</v>
      </c>
      <c r="E9" s="12">
        <f>SUM(E8,H9,-K9)</f>
        <v>0</v>
      </c>
      <c r="F9" s="6"/>
      <c r="G9" s="6"/>
      <c r="H9" s="14"/>
      <c r="I9" s="6"/>
      <c r="J9" s="6"/>
      <c r="K9" s="14"/>
    </row>
    <row r="10" spans="1:11" x14ac:dyDescent="0.2">
      <c r="A10" s="9">
        <f t="shared" ref="A10:A23" si="0">IF(A9=12,1,A9+1)</f>
        <v>2</v>
      </c>
      <c r="B10" s="74" t="s">
        <v>40</v>
      </c>
      <c r="C10" s="10">
        <f t="shared" ref="C10:C23" si="1">SUM(C9,F10,-I10)</f>
        <v>0</v>
      </c>
      <c r="D10" s="11">
        <f t="shared" ref="D10:D23" si="2">IF(C10=0,0,SUM(C9*D9,F10*G10-I10*J10)/C10)</f>
        <v>0</v>
      </c>
      <c r="E10" s="12">
        <f t="shared" ref="E10:E23" si="3">SUM(E9,H10,-K10)</f>
        <v>0</v>
      </c>
      <c r="F10" s="6"/>
      <c r="G10" s="6"/>
      <c r="H10" s="14"/>
      <c r="I10" s="6"/>
      <c r="J10" s="6"/>
      <c r="K10" s="14"/>
    </row>
    <row r="11" spans="1:11" x14ac:dyDescent="0.2">
      <c r="A11" s="9">
        <f t="shared" si="0"/>
        <v>3</v>
      </c>
      <c r="B11" s="74" t="s">
        <v>41</v>
      </c>
      <c r="C11" s="10">
        <f t="shared" si="1"/>
        <v>0</v>
      </c>
      <c r="D11" s="11">
        <f t="shared" si="2"/>
        <v>0</v>
      </c>
      <c r="E11" s="12">
        <f t="shared" si="3"/>
        <v>0</v>
      </c>
      <c r="F11" s="6"/>
      <c r="G11" s="6"/>
      <c r="H11" s="14"/>
      <c r="I11" s="6"/>
      <c r="J11" s="6"/>
      <c r="K11" s="14"/>
    </row>
    <row r="12" spans="1:11" x14ac:dyDescent="0.2">
      <c r="A12" s="9">
        <f t="shared" si="0"/>
        <v>4</v>
      </c>
      <c r="B12" s="74" t="s">
        <v>42</v>
      </c>
      <c r="C12" s="10">
        <f t="shared" si="1"/>
        <v>0</v>
      </c>
      <c r="D12" s="11">
        <f t="shared" si="2"/>
        <v>0</v>
      </c>
      <c r="E12" s="12">
        <f t="shared" si="3"/>
        <v>0</v>
      </c>
      <c r="F12" s="6"/>
      <c r="G12" s="6"/>
      <c r="H12" s="14"/>
      <c r="I12" s="6"/>
      <c r="J12" s="6"/>
      <c r="K12" s="14"/>
    </row>
    <row r="13" spans="1:11" x14ac:dyDescent="0.2">
      <c r="A13" s="9">
        <f t="shared" si="0"/>
        <v>5</v>
      </c>
      <c r="B13" s="74" t="s">
        <v>43</v>
      </c>
      <c r="C13" s="10">
        <f t="shared" si="1"/>
        <v>0</v>
      </c>
      <c r="D13" s="11">
        <f t="shared" si="2"/>
        <v>0</v>
      </c>
      <c r="E13" s="12">
        <f t="shared" si="3"/>
        <v>0</v>
      </c>
      <c r="F13" s="6"/>
      <c r="G13" s="6"/>
      <c r="H13" s="14"/>
      <c r="I13" s="6"/>
      <c r="J13" s="6"/>
      <c r="K13" s="14"/>
    </row>
    <row r="14" spans="1:11" x14ac:dyDescent="0.2">
      <c r="A14" s="9">
        <f t="shared" si="0"/>
        <v>6</v>
      </c>
      <c r="B14" s="74" t="s">
        <v>44</v>
      </c>
      <c r="C14" s="10">
        <f t="shared" si="1"/>
        <v>0</v>
      </c>
      <c r="D14" s="11">
        <f t="shared" si="2"/>
        <v>0</v>
      </c>
      <c r="E14" s="12">
        <f t="shared" si="3"/>
        <v>0</v>
      </c>
      <c r="F14" s="6"/>
      <c r="G14" s="6"/>
      <c r="H14" s="14"/>
      <c r="I14" s="6"/>
      <c r="J14" s="6"/>
      <c r="K14" s="14"/>
    </row>
    <row r="15" spans="1:11" x14ac:dyDescent="0.2">
      <c r="A15" s="9">
        <f t="shared" si="0"/>
        <v>7</v>
      </c>
      <c r="B15" s="74" t="s">
        <v>45</v>
      </c>
      <c r="C15" s="10">
        <f t="shared" si="1"/>
        <v>0</v>
      </c>
      <c r="D15" s="11">
        <f t="shared" si="2"/>
        <v>0</v>
      </c>
      <c r="E15" s="12">
        <f t="shared" si="3"/>
        <v>0</v>
      </c>
      <c r="F15" s="6"/>
      <c r="G15" s="6"/>
      <c r="H15" s="14"/>
      <c r="I15" s="6"/>
      <c r="J15" s="6"/>
      <c r="K15" s="7"/>
    </row>
    <row r="16" spans="1:11" x14ac:dyDescent="0.2">
      <c r="A16" s="9">
        <f t="shared" si="0"/>
        <v>8</v>
      </c>
      <c r="B16" s="74" t="s">
        <v>46</v>
      </c>
      <c r="C16" s="10">
        <f t="shared" si="1"/>
        <v>0</v>
      </c>
      <c r="D16" s="11">
        <f t="shared" si="2"/>
        <v>0</v>
      </c>
      <c r="E16" s="12">
        <f t="shared" si="3"/>
        <v>0</v>
      </c>
      <c r="F16" s="6"/>
      <c r="G16" s="6"/>
      <c r="H16" s="14"/>
      <c r="I16" s="6"/>
      <c r="J16" s="6"/>
      <c r="K16" s="7"/>
    </row>
    <row r="17" spans="1:11" x14ac:dyDescent="0.2">
      <c r="A17" s="9">
        <f t="shared" si="0"/>
        <v>9</v>
      </c>
      <c r="B17" s="74" t="s">
        <v>47</v>
      </c>
      <c r="C17" s="10">
        <f t="shared" si="1"/>
        <v>0</v>
      </c>
      <c r="D17" s="11">
        <f t="shared" si="2"/>
        <v>0</v>
      </c>
      <c r="E17" s="12">
        <f t="shared" si="3"/>
        <v>0</v>
      </c>
      <c r="F17" s="6"/>
      <c r="G17" s="6"/>
      <c r="H17" s="14"/>
      <c r="I17" s="6"/>
      <c r="J17" s="6"/>
      <c r="K17" s="7"/>
    </row>
    <row r="18" spans="1:11" x14ac:dyDescent="0.2">
      <c r="A18" s="9">
        <f t="shared" si="0"/>
        <v>10</v>
      </c>
      <c r="B18" s="74" t="s">
        <v>48</v>
      </c>
      <c r="C18" s="10">
        <f t="shared" si="1"/>
        <v>0</v>
      </c>
      <c r="D18" s="11">
        <f t="shared" si="2"/>
        <v>0</v>
      </c>
      <c r="E18" s="12">
        <f t="shared" si="3"/>
        <v>0</v>
      </c>
      <c r="F18" s="6"/>
      <c r="G18" s="6"/>
      <c r="H18" s="14"/>
      <c r="I18" s="6"/>
      <c r="J18" s="6"/>
      <c r="K18" s="7"/>
    </row>
    <row r="19" spans="1:11" x14ac:dyDescent="0.2">
      <c r="A19" s="9">
        <f t="shared" si="0"/>
        <v>11</v>
      </c>
      <c r="B19" s="74" t="s">
        <v>49</v>
      </c>
      <c r="C19" s="10">
        <f t="shared" si="1"/>
        <v>0</v>
      </c>
      <c r="D19" s="11">
        <f t="shared" si="2"/>
        <v>0</v>
      </c>
      <c r="E19" s="12">
        <f t="shared" si="3"/>
        <v>0</v>
      </c>
      <c r="F19" s="6"/>
      <c r="G19" s="6"/>
      <c r="H19" s="14"/>
      <c r="I19" s="6"/>
      <c r="J19" s="6"/>
      <c r="K19" s="7"/>
    </row>
    <row r="20" spans="1:11" x14ac:dyDescent="0.2">
      <c r="A20" s="9">
        <f t="shared" si="0"/>
        <v>12</v>
      </c>
      <c r="B20" s="74" t="s">
        <v>50</v>
      </c>
      <c r="C20" s="10">
        <f t="shared" si="1"/>
        <v>0</v>
      </c>
      <c r="D20" s="11">
        <f t="shared" si="2"/>
        <v>0</v>
      </c>
      <c r="E20" s="12">
        <f t="shared" si="3"/>
        <v>0</v>
      </c>
      <c r="F20" s="6"/>
      <c r="G20" s="6"/>
      <c r="H20" s="14"/>
      <c r="I20" s="6"/>
      <c r="J20" s="6"/>
      <c r="K20" s="7"/>
    </row>
    <row r="21" spans="1:11" x14ac:dyDescent="0.2">
      <c r="A21" s="9">
        <f>IF(A20=12,1,A20+1)</f>
        <v>1</v>
      </c>
      <c r="B21" s="74" t="s">
        <v>51</v>
      </c>
      <c r="C21" s="10">
        <f t="shared" si="1"/>
        <v>0</v>
      </c>
      <c r="D21" s="11">
        <f t="shared" si="2"/>
        <v>0</v>
      </c>
      <c r="E21" s="12">
        <f t="shared" si="3"/>
        <v>0</v>
      </c>
      <c r="F21" s="6"/>
      <c r="G21" s="6"/>
      <c r="H21" s="14"/>
      <c r="I21" s="6"/>
      <c r="J21" s="6"/>
      <c r="K21" s="7"/>
    </row>
    <row r="22" spans="1:11" x14ac:dyDescent="0.2">
      <c r="A22" s="9">
        <f t="shared" si="0"/>
        <v>2</v>
      </c>
      <c r="B22" s="74" t="s">
        <v>52</v>
      </c>
      <c r="C22" s="10">
        <f t="shared" si="1"/>
        <v>0</v>
      </c>
      <c r="D22" s="11">
        <f t="shared" si="2"/>
        <v>0</v>
      </c>
      <c r="E22" s="12">
        <f t="shared" si="3"/>
        <v>0</v>
      </c>
      <c r="F22" s="6"/>
      <c r="G22" s="6"/>
      <c r="H22" s="7"/>
      <c r="I22" s="6"/>
      <c r="J22" s="6"/>
      <c r="K22" s="7"/>
    </row>
    <row r="23" spans="1:11" x14ac:dyDescent="0.2">
      <c r="A23" s="9">
        <f t="shared" si="0"/>
        <v>3</v>
      </c>
      <c r="B23" s="74" t="s">
        <v>53</v>
      </c>
      <c r="C23" s="10">
        <f t="shared" si="1"/>
        <v>0</v>
      </c>
      <c r="D23" s="11">
        <f t="shared" si="2"/>
        <v>0</v>
      </c>
      <c r="E23" s="12">
        <f t="shared" si="3"/>
        <v>0</v>
      </c>
      <c r="F23" s="6"/>
      <c r="G23" s="6"/>
      <c r="H23" s="7"/>
      <c r="I23" s="6"/>
      <c r="J23" s="6"/>
      <c r="K23" s="7"/>
    </row>
    <row r="24" spans="1:11" x14ac:dyDescent="0.2">
      <c r="A24" s="3"/>
      <c r="B24" s="3"/>
      <c r="C24" s="3"/>
      <c r="D24" s="3"/>
      <c r="E24" s="3"/>
      <c r="F24" s="13"/>
      <c r="G24" s="3"/>
      <c r="H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4" t="s">
        <v>24</v>
      </c>
      <c r="E28" s="3"/>
      <c r="F28" s="3"/>
      <c r="G28" s="3"/>
      <c r="H28" s="4" t="s">
        <v>54</v>
      </c>
      <c r="I28" s="3"/>
      <c r="J28" s="3"/>
      <c r="K28" s="3"/>
    </row>
    <row r="29" spans="1:11" x14ac:dyDescent="0.2">
      <c r="A29" s="3"/>
      <c r="B29" s="3"/>
      <c r="C29" s="3"/>
      <c r="D29" s="3"/>
      <c r="E29" s="122" t="s">
        <v>96</v>
      </c>
      <c r="F29" s="122"/>
      <c r="G29" s="106"/>
      <c r="H29" s="106"/>
      <c r="I29" s="122" t="s">
        <v>95</v>
      </c>
      <c r="J29" s="122"/>
      <c r="K29" s="3"/>
    </row>
    <row r="30" spans="1:11" x14ac:dyDescent="0.2"/>
    <row r="31" spans="1:11" x14ac:dyDescent="0.2"/>
    <row r="32" spans="1:11" x14ac:dyDescent="0.2"/>
    <row r="33" spans="7:7" x14ac:dyDescent="0.2"/>
    <row r="34" spans="7:7" x14ac:dyDescent="0.2">
      <c r="G34" s="2"/>
    </row>
    <row r="35" spans="7:7" ht="12.75" customHeight="1" x14ac:dyDescent="0.2"/>
    <row r="36" spans="7:7" ht="12.75" customHeight="1" x14ac:dyDescent="0.2"/>
    <row r="37" spans="7:7" ht="12.75" customHeight="1" x14ac:dyDescent="0.2"/>
    <row r="38" spans="7:7" ht="12.75" customHeight="1" x14ac:dyDescent="0.2"/>
    <row r="39" spans="7:7" ht="12.75" customHeight="1" x14ac:dyDescent="0.2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8"/>
  <sheetViews>
    <sheetView tabSelected="1" workbookViewId="0">
      <selection activeCell="D3" sqref="D3"/>
    </sheetView>
  </sheetViews>
  <sheetFormatPr defaultRowHeight="12.75" x14ac:dyDescent="0.2"/>
  <cols>
    <col min="1" max="1" width="1.85546875" customWidth="1"/>
    <col min="2" max="2" width="19.5703125" customWidth="1"/>
    <col min="3" max="4" width="9.140625" customWidth="1"/>
    <col min="5" max="5" width="8.5703125" customWidth="1"/>
    <col min="6" max="6" width="8.28515625" customWidth="1"/>
    <col min="7" max="7" width="7.28515625" customWidth="1"/>
    <col min="8" max="8" width="7.42578125" customWidth="1"/>
    <col min="9" max="9" width="7.28515625" customWidth="1"/>
    <col min="10" max="12" width="7.140625" customWidth="1"/>
    <col min="13" max="13" width="8" customWidth="1"/>
    <col min="14" max="14" width="8.140625" customWidth="1"/>
    <col min="15" max="15" width="7.7109375" customWidth="1"/>
    <col min="16" max="16" width="9.140625" customWidth="1"/>
    <col min="17" max="17" width="3.42578125" customWidth="1"/>
    <col min="18" max="18" width="2" customWidth="1"/>
  </cols>
  <sheetData>
    <row r="2" spans="2:16" ht="15.75" x14ac:dyDescent="0.25">
      <c r="E2" s="51" t="s">
        <v>56</v>
      </c>
      <c r="P2" s="52" t="s">
        <v>1</v>
      </c>
    </row>
    <row r="3" spans="2:16" ht="14.45" customHeight="1" x14ac:dyDescent="0.2">
      <c r="D3" s="53" t="s">
        <v>91</v>
      </c>
    </row>
    <row r="4" spans="2:16" ht="8.4499999999999993" customHeight="1" x14ac:dyDescent="0.2">
      <c r="D4" s="53"/>
    </row>
    <row r="5" spans="2:16" ht="15" x14ac:dyDescent="0.2">
      <c r="D5" s="128">
        <v>2021</v>
      </c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</row>
    <row r="6" spans="2:16" ht="15" x14ac:dyDescent="0.25">
      <c r="C6" s="54" t="s">
        <v>35</v>
      </c>
      <c r="D6" s="55" t="s">
        <v>57</v>
      </c>
      <c r="E6" s="55" t="s">
        <v>58</v>
      </c>
      <c r="F6" s="55" t="s">
        <v>59</v>
      </c>
      <c r="G6" s="55" t="s">
        <v>60</v>
      </c>
      <c r="H6" s="55" t="s">
        <v>61</v>
      </c>
      <c r="I6" s="55" t="s">
        <v>62</v>
      </c>
      <c r="J6" s="55" t="s">
        <v>63</v>
      </c>
      <c r="K6" s="55" t="s">
        <v>64</v>
      </c>
      <c r="L6" s="55" t="s">
        <v>65</v>
      </c>
      <c r="M6" s="55" t="s">
        <v>66</v>
      </c>
      <c r="N6" s="55" t="s">
        <v>67</v>
      </c>
      <c r="O6" s="55" t="s">
        <v>68</v>
      </c>
      <c r="P6" s="56" t="s">
        <v>69</v>
      </c>
    </row>
    <row r="7" spans="2:16" ht="15" x14ac:dyDescent="0.2">
      <c r="B7" s="85" t="s">
        <v>32</v>
      </c>
      <c r="C7" s="58" t="s">
        <v>70</v>
      </c>
      <c r="D7" s="72"/>
      <c r="E7" s="73"/>
      <c r="F7" s="73"/>
      <c r="G7" s="73"/>
      <c r="H7" s="73"/>
      <c r="I7" s="73"/>
      <c r="J7" s="73">
        <v>97.568780000000004</v>
      </c>
      <c r="K7" s="73">
        <v>41.7515</v>
      </c>
      <c r="L7" s="73">
        <v>90.246229999999997</v>
      </c>
      <c r="M7" s="73">
        <v>162.70956000000001</v>
      </c>
      <c r="N7" s="73">
        <v>88.657904000000002</v>
      </c>
      <c r="O7" s="73">
        <v>78.522999999999996</v>
      </c>
      <c r="P7" s="90">
        <f>SUM(D7:O7)</f>
        <v>559.45697400000006</v>
      </c>
    </row>
    <row r="8" spans="2:16" ht="15" x14ac:dyDescent="0.25">
      <c r="B8" s="85" t="s">
        <v>71</v>
      </c>
      <c r="C8" s="58" t="s">
        <v>72</v>
      </c>
      <c r="D8" s="73"/>
      <c r="E8" s="73"/>
      <c r="F8" s="73"/>
      <c r="G8" s="73"/>
      <c r="H8" s="73"/>
      <c r="I8" s="73"/>
      <c r="J8" s="73">
        <v>49.94</v>
      </c>
      <c r="K8" s="73">
        <v>57.6</v>
      </c>
      <c r="L8" s="73">
        <v>69.400000000000006</v>
      </c>
      <c r="M8" s="73">
        <v>94.54</v>
      </c>
      <c r="N8" s="73">
        <v>93.19</v>
      </c>
      <c r="O8" s="73">
        <v>102.33</v>
      </c>
      <c r="P8" s="56">
        <f>IF(P7=0,0,SUMPRODUCT(D7:O7,D8:O8)/P7)</f>
        <v>80.829111447201299</v>
      </c>
    </row>
    <row r="9" spans="2:16" ht="15" x14ac:dyDescent="0.2">
      <c r="B9" s="85" t="s">
        <v>73</v>
      </c>
      <c r="C9" s="58" t="s">
        <v>72</v>
      </c>
      <c r="D9" s="72"/>
      <c r="E9" s="73"/>
      <c r="F9" s="73"/>
      <c r="G9" s="73"/>
      <c r="H9" s="73"/>
      <c r="I9" s="73"/>
      <c r="J9" s="73">
        <v>17.32</v>
      </c>
      <c r="K9" s="73">
        <v>17.32</v>
      </c>
      <c r="L9" s="73">
        <v>17.32</v>
      </c>
      <c r="M9" s="73">
        <v>17.32</v>
      </c>
      <c r="N9" s="73">
        <v>17.32</v>
      </c>
      <c r="O9" s="73">
        <v>17.32</v>
      </c>
      <c r="P9" s="90">
        <f>IF(P7=0,0,SUMPRODUCT(D7:O7,D9:O9)/P7)</f>
        <v>17.319999999999997</v>
      </c>
    </row>
    <row r="10" spans="2:16" ht="15" x14ac:dyDescent="0.25">
      <c r="B10" s="85" t="s">
        <v>74</v>
      </c>
      <c r="C10" s="58" t="s">
        <v>72</v>
      </c>
      <c r="D10" s="72"/>
      <c r="E10" s="73"/>
      <c r="F10" s="73"/>
      <c r="G10" s="73"/>
      <c r="H10" s="73"/>
      <c r="I10" s="73"/>
      <c r="J10" s="73">
        <v>0.79</v>
      </c>
      <c r="K10" s="73">
        <v>0.79</v>
      </c>
      <c r="L10" s="73">
        <v>0.79</v>
      </c>
      <c r="M10" s="73">
        <v>0.79</v>
      </c>
      <c r="N10" s="73">
        <v>0.79</v>
      </c>
      <c r="O10" s="73">
        <v>0.79</v>
      </c>
      <c r="P10" s="56">
        <f>IF(P7=0,0,SUMPRODUCT(D7:O7,D10:O10)/P7)</f>
        <v>0.78999999999999992</v>
      </c>
    </row>
    <row r="11" spans="2:16" ht="17.45" customHeight="1" x14ac:dyDescent="0.2">
      <c r="B11" s="86" t="s">
        <v>75</v>
      </c>
      <c r="C11" s="58" t="s">
        <v>72</v>
      </c>
      <c r="D11" s="79">
        <f>D8+D9+D10</f>
        <v>0</v>
      </c>
      <c r="E11" s="79">
        <f t="shared" ref="E11:P11" si="0">E8+E9+E10</f>
        <v>0</v>
      </c>
      <c r="F11" s="79">
        <f t="shared" si="0"/>
        <v>0</v>
      </c>
      <c r="G11" s="79">
        <f t="shared" si="0"/>
        <v>0</v>
      </c>
      <c r="H11" s="79">
        <f t="shared" si="0"/>
        <v>0</v>
      </c>
      <c r="I11" s="79">
        <f t="shared" si="0"/>
        <v>0</v>
      </c>
      <c r="J11" s="79">
        <f t="shared" si="0"/>
        <v>68.05</v>
      </c>
      <c r="K11" s="79">
        <f t="shared" si="0"/>
        <v>75.710000000000008</v>
      </c>
      <c r="L11" s="79">
        <f t="shared" si="0"/>
        <v>87.51</v>
      </c>
      <c r="M11" s="79">
        <f t="shared" si="0"/>
        <v>112.65000000000002</v>
      </c>
      <c r="N11" s="79">
        <f t="shared" si="0"/>
        <v>111.3</v>
      </c>
      <c r="O11" s="79">
        <f t="shared" si="0"/>
        <v>120.44000000000001</v>
      </c>
      <c r="P11" s="79">
        <f t="shared" si="0"/>
        <v>98.939111447201299</v>
      </c>
    </row>
    <row r="12" spans="2:16" ht="25.5" x14ac:dyDescent="0.2">
      <c r="B12" s="85" t="s">
        <v>76</v>
      </c>
      <c r="C12" s="58" t="s">
        <v>77</v>
      </c>
      <c r="D12" s="73"/>
      <c r="E12" s="73"/>
      <c r="F12" s="73"/>
      <c r="G12" s="73"/>
      <c r="H12" s="73"/>
      <c r="I12" s="73"/>
      <c r="J12" s="73">
        <v>10.522</v>
      </c>
      <c r="K12" s="73">
        <v>10.55</v>
      </c>
      <c r="L12" s="73">
        <v>10.568</v>
      </c>
      <c r="M12" s="73">
        <v>10.569000000000001</v>
      </c>
      <c r="N12" s="73">
        <v>10.548999999999999</v>
      </c>
      <c r="O12" s="73">
        <v>10.54</v>
      </c>
      <c r="P12" s="80">
        <f>IF(P8=0,0,SUMPRODUCT(D12:O12,D7:O7)/P7)</f>
        <v>10.551984245594548</v>
      </c>
    </row>
    <row r="13" spans="2:16" ht="15" customHeight="1" x14ac:dyDescent="0.2">
      <c r="B13" s="57" t="s">
        <v>32</v>
      </c>
      <c r="C13" s="58" t="s">
        <v>78</v>
      </c>
      <c r="D13" s="71"/>
      <c r="E13" s="71"/>
      <c r="F13" s="71"/>
      <c r="G13" s="71"/>
      <c r="H13" s="71"/>
      <c r="I13" s="71"/>
      <c r="J13" s="71">
        <v>9.2569999999999997</v>
      </c>
      <c r="K13" s="71">
        <v>3.95</v>
      </c>
      <c r="L13" s="71">
        <v>8.5419999999999998</v>
      </c>
      <c r="M13" s="71">
        <v>15.452</v>
      </c>
      <c r="N13" s="71">
        <v>8.4019999999999992</v>
      </c>
      <c r="O13" s="71">
        <v>7.45</v>
      </c>
      <c r="P13" s="90">
        <f>SUM(D13:O13)</f>
        <v>53.053000000000004</v>
      </c>
    </row>
    <row r="14" spans="2:16" ht="15" x14ac:dyDescent="0.2">
      <c r="B14" s="57" t="s">
        <v>79</v>
      </c>
      <c r="C14" s="58" t="s">
        <v>80</v>
      </c>
      <c r="D14" s="72"/>
      <c r="E14" s="72"/>
      <c r="F14" s="72"/>
      <c r="G14" s="72"/>
      <c r="H14" s="72"/>
      <c r="I14" s="72"/>
      <c r="J14" s="72">
        <v>8199</v>
      </c>
      <c r="K14" s="72">
        <v>8166</v>
      </c>
      <c r="L14" s="72">
        <v>8171</v>
      </c>
      <c r="M14" s="72">
        <v>8177</v>
      </c>
      <c r="N14" s="72">
        <v>8179</v>
      </c>
      <c r="O14" s="72">
        <v>8189</v>
      </c>
      <c r="P14" s="90">
        <f>IF(P13=0,0,SUMPRODUCT(D13:O13,D14:O14)/P13)</f>
        <v>8181.0554916781321</v>
      </c>
    </row>
    <row r="15" spans="2:16" ht="15" x14ac:dyDescent="0.2">
      <c r="B15" s="57" t="s">
        <v>81</v>
      </c>
      <c r="C15" s="58" t="s">
        <v>80</v>
      </c>
      <c r="D15" s="72"/>
      <c r="E15" s="72"/>
      <c r="F15" s="72"/>
      <c r="G15" s="72"/>
      <c r="H15" s="72"/>
      <c r="I15" s="72"/>
      <c r="J15" s="72">
        <v>9086</v>
      </c>
      <c r="K15" s="72">
        <v>9050</v>
      </c>
      <c r="L15" s="72">
        <v>9058</v>
      </c>
      <c r="M15" s="72">
        <v>9065</v>
      </c>
      <c r="N15" s="72">
        <v>9066</v>
      </c>
      <c r="O15" s="72">
        <v>9077</v>
      </c>
      <c r="P15" s="90">
        <f>IF(P13=0,0,SUMPRODUCT(D15:O15,D13:O13)/P13)</f>
        <v>9068.2638116600374</v>
      </c>
    </row>
    <row r="16" spans="2:16" ht="13.5" x14ac:dyDescent="0.2">
      <c r="B16" s="57" t="s">
        <v>71</v>
      </c>
      <c r="C16" s="58" t="s">
        <v>82</v>
      </c>
      <c r="D16" s="75">
        <f>IF(D13=0,0,D8*D12)</f>
        <v>0</v>
      </c>
      <c r="E16" s="75">
        <f t="shared" ref="E16:O16" si="1">IF(E13=0,0,E8*E12)</f>
        <v>0</v>
      </c>
      <c r="F16" s="75">
        <f t="shared" si="1"/>
        <v>0</v>
      </c>
      <c r="G16" s="75">
        <f t="shared" si="1"/>
        <v>0</v>
      </c>
      <c r="H16" s="75">
        <f t="shared" si="1"/>
        <v>0</v>
      </c>
      <c r="I16" s="75">
        <f t="shared" si="1"/>
        <v>0</v>
      </c>
      <c r="J16" s="75">
        <f t="shared" si="1"/>
        <v>525.46867999999995</v>
      </c>
      <c r="K16" s="75">
        <f t="shared" si="1"/>
        <v>607.68000000000006</v>
      </c>
      <c r="L16" s="75">
        <f t="shared" si="1"/>
        <v>733.41920000000005</v>
      </c>
      <c r="M16" s="75">
        <f t="shared" si="1"/>
        <v>999.19326000000012</v>
      </c>
      <c r="N16" s="75">
        <f t="shared" si="1"/>
        <v>983.06130999999993</v>
      </c>
      <c r="O16" s="75">
        <f t="shared" si="1"/>
        <v>1078.5581999999999</v>
      </c>
      <c r="P16" s="75">
        <f>IF(P13=0,0,P8*P12)</f>
        <v>852.90751057627403</v>
      </c>
    </row>
    <row r="17" spans="2:16" ht="13.5" x14ac:dyDescent="0.2">
      <c r="B17" s="85" t="s">
        <v>73</v>
      </c>
      <c r="C17" s="58" t="s">
        <v>82</v>
      </c>
      <c r="D17" s="75">
        <f>IF(D13=0,0,D9*D12)</f>
        <v>0</v>
      </c>
      <c r="E17" s="75">
        <f t="shared" ref="E17:O17" si="2">IF(E13=0,0,E9*E12)</f>
        <v>0</v>
      </c>
      <c r="F17" s="75">
        <f t="shared" si="2"/>
        <v>0</v>
      </c>
      <c r="G17" s="75">
        <f t="shared" si="2"/>
        <v>0</v>
      </c>
      <c r="H17" s="75">
        <f t="shared" si="2"/>
        <v>0</v>
      </c>
      <c r="I17" s="75">
        <f t="shared" si="2"/>
        <v>0</v>
      </c>
      <c r="J17" s="75">
        <f t="shared" si="2"/>
        <v>182.24104</v>
      </c>
      <c r="K17" s="75">
        <f t="shared" si="2"/>
        <v>182.72600000000003</v>
      </c>
      <c r="L17" s="75">
        <f t="shared" si="2"/>
        <v>183.03775999999999</v>
      </c>
      <c r="M17" s="75">
        <f t="shared" si="2"/>
        <v>183.05508</v>
      </c>
      <c r="N17" s="75">
        <f t="shared" si="2"/>
        <v>182.70867999999999</v>
      </c>
      <c r="O17" s="75">
        <f t="shared" si="2"/>
        <v>182.55279999999999</v>
      </c>
      <c r="P17" s="75">
        <f>IF(P13=0,0,P9*P12)</f>
        <v>182.76036713369754</v>
      </c>
    </row>
    <row r="18" spans="2:16" ht="13.5" x14ac:dyDescent="0.2">
      <c r="B18" s="85" t="s">
        <v>74</v>
      </c>
      <c r="C18" s="58" t="s">
        <v>82</v>
      </c>
      <c r="D18" s="75">
        <f>IF(D13=0,0,D10*D12)</f>
        <v>0</v>
      </c>
      <c r="E18" s="75">
        <f t="shared" ref="E18:O18" si="3">IF(E13=0,0,E10*E12)</f>
        <v>0</v>
      </c>
      <c r="F18" s="75">
        <f t="shared" si="3"/>
        <v>0</v>
      </c>
      <c r="G18" s="75">
        <f t="shared" si="3"/>
        <v>0</v>
      </c>
      <c r="H18" s="75">
        <f t="shared" si="3"/>
        <v>0</v>
      </c>
      <c r="I18" s="75">
        <f t="shared" si="3"/>
        <v>0</v>
      </c>
      <c r="J18" s="75">
        <f t="shared" si="3"/>
        <v>8.312380000000001</v>
      </c>
      <c r="K18" s="75">
        <f t="shared" si="3"/>
        <v>8.3345000000000002</v>
      </c>
      <c r="L18" s="75">
        <f t="shared" si="3"/>
        <v>8.3487200000000001</v>
      </c>
      <c r="M18" s="75">
        <f t="shared" si="3"/>
        <v>8.3495100000000004</v>
      </c>
      <c r="N18" s="75">
        <f t="shared" si="3"/>
        <v>8.33371</v>
      </c>
      <c r="O18" s="75">
        <f t="shared" si="3"/>
        <v>8.3265999999999991</v>
      </c>
      <c r="P18" s="75">
        <f>IF(P13=0,0,P10*P12)</f>
        <v>8.3360675540196922</v>
      </c>
    </row>
    <row r="19" spans="2:16" ht="16.5" customHeight="1" x14ac:dyDescent="0.2">
      <c r="B19" s="86" t="s">
        <v>75</v>
      </c>
      <c r="C19" s="58" t="s">
        <v>82</v>
      </c>
      <c r="D19" s="75">
        <f>D16+D17+D18</f>
        <v>0</v>
      </c>
      <c r="E19" s="75">
        <f t="shared" ref="E19:O19" si="4">E16+E17+E18</f>
        <v>0</v>
      </c>
      <c r="F19" s="75">
        <f t="shared" si="4"/>
        <v>0</v>
      </c>
      <c r="G19" s="75">
        <f t="shared" si="4"/>
        <v>0</v>
      </c>
      <c r="H19" s="75">
        <f t="shared" si="4"/>
        <v>0</v>
      </c>
      <c r="I19" s="75">
        <f t="shared" si="4"/>
        <v>0</v>
      </c>
      <c r="J19" s="75">
        <f t="shared" si="4"/>
        <v>716.02209999999991</v>
      </c>
      <c r="K19" s="75">
        <f t="shared" si="4"/>
        <v>798.74050000000011</v>
      </c>
      <c r="L19" s="75">
        <f t="shared" si="4"/>
        <v>924.80567999999994</v>
      </c>
      <c r="M19" s="75">
        <f t="shared" si="4"/>
        <v>1190.5978500000001</v>
      </c>
      <c r="N19" s="75">
        <f t="shared" si="4"/>
        <v>1174.1037000000001</v>
      </c>
      <c r="O19" s="75">
        <f t="shared" si="4"/>
        <v>1269.4376</v>
      </c>
      <c r="P19" s="75">
        <f>P16+P17+P18</f>
        <v>1044.0039452639915</v>
      </c>
    </row>
    <row r="20" spans="2:16" ht="15" x14ac:dyDescent="0.2">
      <c r="B20" s="59" t="s">
        <v>83</v>
      </c>
      <c r="C20" s="67" t="s">
        <v>84</v>
      </c>
      <c r="D20" s="60">
        <f>D13*D19/1000</f>
        <v>0</v>
      </c>
      <c r="E20" s="60">
        <f t="shared" ref="E20:O20" si="5">E13*E19</f>
        <v>0</v>
      </c>
      <c r="F20" s="60">
        <f t="shared" si="5"/>
        <v>0</v>
      </c>
      <c r="G20" s="60">
        <f t="shared" si="5"/>
        <v>0</v>
      </c>
      <c r="H20" s="60">
        <f t="shared" si="5"/>
        <v>0</v>
      </c>
      <c r="I20" s="60">
        <f t="shared" si="5"/>
        <v>0</v>
      </c>
      <c r="J20" s="60">
        <f t="shared" si="5"/>
        <v>6628.2165796999989</v>
      </c>
      <c r="K20" s="60">
        <f t="shared" si="5"/>
        <v>3155.0249750000007</v>
      </c>
      <c r="L20" s="60">
        <f t="shared" si="5"/>
        <v>7899.6901185599991</v>
      </c>
      <c r="M20" s="60">
        <f t="shared" si="5"/>
        <v>18397.1179782</v>
      </c>
      <c r="N20" s="60">
        <f t="shared" si="5"/>
        <v>9864.8192873999997</v>
      </c>
      <c r="O20" s="60">
        <f t="shared" si="5"/>
        <v>9457.3101200000001</v>
      </c>
      <c r="P20" s="90">
        <f>SUM(D20:O20)</f>
        <v>55402.179058859998</v>
      </c>
    </row>
    <row r="21" spans="2:16" x14ac:dyDescent="0.2">
      <c r="B21" s="61"/>
      <c r="C21" s="62"/>
      <c r="D21" s="91"/>
      <c r="E21" s="91"/>
      <c r="F21" s="91"/>
      <c r="G21" s="91"/>
      <c r="H21" s="91"/>
      <c r="I21" s="91"/>
      <c r="J21" s="63"/>
      <c r="K21" s="91"/>
      <c r="L21" s="91"/>
      <c r="M21" s="91"/>
      <c r="N21" s="91"/>
      <c r="O21" s="91"/>
    </row>
    <row r="22" spans="2:16" ht="20.45" customHeight="1" x14ac:dyDescent="0.2">
      <c r="B22" s="77"/>
      <c r="C22" s="135" t="s">
        <v>85</v>
      </c>
      <c r="D22" s="135"/>
      <c r="E22" s="135"/>
      <c r="F22" s="136"/>
      <c r="G22" s="136"/>
      <c r="H22" s="136"/>
      <c r="I22" s="136"/>
      <c r="J22" s="136"/>
      <c r="K22" s="136"/>
      <c r="L22" s="136"/>
      <c r="M22" s="136"/>
      <c r="N22" s="136"/>
      <c r="O22" s="136"/>
    </row>
    <row r="23" spans="2:16" x14ac:dyDescent="0.2">
      <c r="B23" s="77"/>
      <c r="C23" s="78"/>
      <c r="D23" s="91"/>
      <c r="E23" s="91"/>
      <c r="F23" s="91"/>
      <c r="G23" s="91"/>
      <c r="H23" s="91"/>
      <c r="I23" s="91"/>
      <c r="J23" s="63"/>
      <c r="K23" s="91"/>
      <c r="L23" s="91"/>
      <c r="M23" s="91"/>
      <c r="N23" s="91"/>
      <c r="O23" s="91"/>
    </row>
    <row r="24" spans="2:16" ht="15" x14ac:dyDescent="0.2">
      <c r="D24" s="128">
        <v>2022</v>
      </c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</row>
    <row r="25" spans="2:16" ht="15" x14ac:dyDescent="0.25">
      <c r="C25" s="54" t="s">
        <v>35</v>
      </c>
      <c r="D25" s="55" t="s">
        <v>57</v>
      </c>
      <c r="E25" s="55" t="s">
        <v>58</v>
      </c>
      <c r="F25" s="55" t="s">
        <v>59</v>
      </c>
      <c r="G25" s="55" t="s">
        <v>60</v>
      </c>
      <c r="H25" s="55" t="s">
        <v>61</v>
      </c>
      <c r="I25" s="55" t="s">
        <v>62</v>
      </c>
      <c r="J25" s="55" t="s">
        <v>63</v>
      </c>
      <c r="K25" s="55" t="s">
        <v>64</v>
      </c>
      <c r="L25" s="55" t="s">
        <v>65</v>
      </c>
      <c r="M25" s="55" t="s">
        <v>66</v>
      </c>
      <c r="N25" s="55" t="s">
        <v>67</v>
      </c>
      <c r="O25" s="55" t="s">
        <v>68</v>
      </c>
      <c r="P25" s="56" t="s">
        <v>69</v>
      </c>
    </row>
    <row r="26" spans="2:16" ht="15" x14ac:dyDescent="0.2">
      <c r="B26" s="85" t="s">
        <v>32</v>
      </c>
      <c r="C26" s="58" t="s">
        <v>70</v>
      </c>
      <c r="D26" s="92">
        <v>62.711114999999999</v>
      </c>
      <c r="E26" s="73">
        <v>136.98278999999999</v>
      </c>
      <c r="F26" s="73">
        <v>84.591999999999999</v>
      </c>
      <c r="G26" s="73">
        <v>84.591999999999999</v>
      </c>
      <c r="H26" s="73">
        <v>84.591999999999999</v>
      </c>
      <c r="I26" s="73">
        <v>84.591999999999999</v>
      </c>
      <c r="J26" s="66"/>
      <c r="K26" s="66"/>
      <c r="L26" s="66"/>
      <c r="M26" s="66"/>
      <c r="N26" s="66"/>
      <c r="O26" s="66"/>
      <c r="P26" s="90">
        <f>SUM(D26:O26)</f>
        <v>538.06190500000002</v>
      </c>
    </row>
    <row r="27" spans="2:16" ht="15" x14ac:dyDescent="0.25">
      <c r="B27" s="85" t="s">
        <v>71</v>
      </c>
      <c r="C27" s="58" t="s">
        <v>72</v>
      </c>
      <c r="D27" s="73">
        <v>133.41</v>
      </c>
      <c r="E27" s="73">
        <v>109.88</v>
      </c>
      <c r="F27" s="73">
        <v>113.73</v>
      </c>
      <c r="G27" s="73">
        <v>113.73</v>
      </c>
      <c r="H27" s="73">
        <v>113.73</v>
      </c>
      <c r="I27" s="73">
        <v>113.73</v>
      </c>
      <c r="J27" s="66"/>
      <c r="K27" s="66"/>
      <c r="L27" s="66"/>
      <c r="M27" s="66"/>
      <c r="N27" s="66"/>
      <c r="O27" s="66"/>
      <c r="P27" s="56">
        <f>IF(P26=0,0,SUMPRODUCT(D26:O26,D27:O27)/P26)</f>
        <v>115.04354960299595</v>
      </c>
    </row>
    <row r="28" spans="2:16" ht="15" x14ac:dyDescent="0.2">
      <c r="B28" s="85" t="s">
        <v>73</v>
      </c>
      <c r="C28" s="58" t="s">
        <v>72</v>
      </c>
      <c r="D28" s="73">
        <v>17.32</v>
      </c>
      <c r="E28" s="73">
        <v>17.32</v>
      </c>
      <c r="F28" s="73">
        <v>17.32</v>
      </c>
      <c r="G28" s="73">
        <v>17.32</v>
      </c>
      <c r="H28" s="73">
        <v>17.32</v>
      </c>
      <c r="I28" s="73">
        <v>17.32</v>
      </c>
      <c r="J28" s="66"/>
      <c r="K28" s="66"/>
      <c r="L28" s="66"/>
      <c r="M28" s="66"/>
      <c r="N28" s="66"/>
      <c r="O28" s="66"/>
      <c r="P28" s="90">
        <f>IF(P26=0,0,SUMPRODUCT(D26:O26,D28:O28)/P26)</f>
        <v>17.319999999999997</v>
      </c>
    </row>
    <row r="29" spans="2:16" ht="15" x14ac:dyDescent="0.25">
      <c r="B29" s="85" t="s">
        <v>74</v>
      </c>
      <c r="C29" s="58" t="s">
        <v>72</v>
      </c>
      <c r="D29" s="73">
        <v>0.79</v>
      </c>
      <c r="E29" s="73">
        <v>0.79</v>
      </c>
      <c r="F29" s="73">
        <v>0.79</v>
      </c>
      <c r="G29" s="73">
        <v>0.79</v>
      </c>
      <c r="H29" s="73">
        <v>0.79</v>
      </c>
      <c r="I29" s="73">
        <v>0.79</v>
      </c>
      <c r="J29" s="66"/>
      <c r="K29" s="66"/>
      <c r="L29" s="66"/>
      <c r="M29" s="66"/>
      <c r="N29" s="66"/>
      <c r="O29" s="66"/>
      <c r="P29" s="56">
        <f>IF(P26=0,0,SUMPRODUCT(D26:O26,D29:O29)/P26)</f>
        <v>0.78999999999999992</v>
      </c>
    </row>
    <row r="30" spans="2:16" ht="25.5" x14ac:dyDescent="0.25">
      <c r="B30" s="86" t="s">
        <v>75</v>
      </c>
      <c r="C30" s="58" t="s">
        <v>72</v>
      </c>
      <c r="D30" s="79">
        <f t="shared" ref="D30:I30" si="6">D27+D28+D29</f>
        <v>151.51999999999998</v>
      </c>
      <c r="E30" s="79">
        <f t="shared" si="6"/>
        <v>127.99</v>
      </c>
      <c r="F30" s="79">
        <f t="shared" si="6"/>
        <v>131.84</v>
      </c>
      <c r="G30" s="79">
        <f t="shared" si="6"/>
        <v>131.84</v>
      </c>
      <c r="H30" s="79">
        <f t="shared" si="6"/>
        <v>131.84</v>
      </c>
      <c r="I30" s="79">
        <f t="shared" si="6"/>
        <v>131.84</v>
      </c>
      <c r="J30" s="66"/>
      <c r="K30" s="66"/>
      <c r="L30" s="66"/>
      <c r="M30" s="66"/>
      <c r="N30" s="66"/>
      <c r="O30" s="66"/>
      <c r="P30" s="56">
        <f>P27+P28+P29</f>
        <v>133.15354960299595</v>
      </c>
    </row>
    <row r="31" spans="2:16" ht="25.5" x14ac:dyDescent="0.2">
      <c r="B31" s="85" t="s">
        <v>76</v>
      </c>
      <c r="C31" s="58" t="s">
        <v>77</v>
      </c>
      <c r="D31" s="73">
        <v>10.545999999999999</v>
      </c>
      <c r="E31" s="73">
        <v>10.553000000000001</v>
      </c>
      <c r="F31" s="73">
        <v>10.574</v>
      </c>
      <c r="G31" s="73">
        <v>10.574</v>
      </c>
      <c r="H31" s="73">
        <v>10.574</v>
      </c>
      <c r="I31" s="73">
        <v>10.574</v>
      </c>
      <c r="J31" s="66"/>
      <c r="K31" s="66"/>
      <c r="L31" s="66"/>
      <c r="M31" s="66"/>
      <c r="N31" s="66"/>
      <c r="O31" s="66"/>
      <c r="P31" s="80">
        <f>IF(P27=0,0,SUMPRODUCT(D31:O31,D26:O26)/P26)</f>
        <v>10.565390303296049</v>
      </c>
    </row>
    <row r="32" spans="2:16" ht="17.100000000000001" customHeight="1" x14ac:dyDescent="0.2">
      <c r="B32" s="57" t="s">
        <v>32</v>
      </c>
      <c r="C32" s="58" t="s">
        <v>78</v>
      </c>
      <c r="D32" s="71">
        <v>5.9470000000000001</v>
      </c>
      <c r="E32" s="71">
        <v>12.978</v>
      </c>
      <c r="F32" s="71">
        <v>8</v>
      </c>
      <c r="G32" s="71">
        <v>10</v>
      </c>
      <c r="H32" s="71">
        <v>10</v>
      </c>
      <c r="I32" s="71">
        <v>8</v>
      </c>
      <c r="J32" s="64"/>
      <c r="K32" s="64"/>
      <c r="L32" s="64"/>
      <c r="M32" s="64"/>
      <c r="N32" s="64"/>
      <c r="O32" s="64"/>
      <c r="P32" s="90">
        <f>SUM(D32:O32)</f>
        <v>54.924999999999997</v>
      </c>
    </row>
    <row r="33" spans="2:16" ht="15" x14ac:dyDescent="0.2">
      <c r="B33" s="57" t="s">
        <v>79</v>
      </c>
      <c r="C33" s="58" t="s">
        <v>80</v>
      </c>
      <c r="D33" s="72">
        <v>8191</v>
      </c>
      <c r="E33" s="72">
        <v>8189</v>
      </c>
      <c r="F33" s="72">
        <v>8100</v>
      </c>
      <c r="G33" s="72">
        <v>8100</v>
      </c>
      <c r="H33" s="72">
        <v>8100</v>
      </c>
      <c r="I33" s="72">
        <v>8100</v>
      </c>
      <c r="J33" s="65"/>
      <c r="K33" s="65"/>
      <c r="L33" s="65"/>
      <c r="M33" s="65"/>
      <c r="N33" s="65"/>
      <c r="O33" s="65"/>
      <c r="P33" s="90">
        <f>IF(P32=0,0,SUMPRODUCT(D32:O32,D33:O33)/P32)</f>
        <v>8130.8824578971335</v>
      </c>
    </row>
    <row r="34" spans="2:16" ht="15" x14ac:dyDescent="0.2">
      <c r="B34" s="57" t="s">
        <v>81</v>
      </c>
      <c r="C34" s="58" t="s">
        <v>80</v>
      </c>
      <c r="D34" s="72">
        <v>9078</v>
      </c>
      <c r="E34" s="72">
        <v>9076</v>
      </c>
      <c r="F34" s="72">
        <v>9000</v>
      </c>
      <c r="G34" s="72">
        <v>9000</v>
      </c>
      <c r="H34" s="72">
        <v>9000</v>
      </c>
      <c r="I34" s="72">
        <v>9000</v>
      </c>
      <c r="J34" s="65"/>
      <c r="K34" s="65"/>
      <c r="L34" s="65"/>
      <c r="M34" s="65"/>
      <c r="N34" s="65"/>
      <c r="O34" s="65"/>
      <c r="P34" s="90">
        <f>IF(P32=0,0,SUMPRODUCT(D34:O34,D32:O32)/P32)</f>
        <v>9026.403167956305</v>
      </c>
    </row>
    <row r="35" spans="2:16" ht="13.5" x14ac:dyDescent="0.2">
      <c r="B35" s="57" t="s">
        <v>71</v>
      </c>
      <c r="C35" s="58" t="s">
        <v>82</v>
      </c>
      <c r="D35" s="75">
        <f>IF(D32=0,0,D27*D31)</f>
        <v>1406.9418599999999</v>
      </c>
      <c r="E35" s="75">
        <f>IF(E32=0,0,E27*E31)</f>
        <v>1159.5636400000001</v>
      </c>
      <c r="F35" s="75">
        <f t="shared" ref="F35:P35" si="7">IF(F32=0,0,F27*F31)</f>
        <v>1202.5810200000001</v>
      </c>
      <c r="G35" s="75">
        <f t="shared" si="7"/>
        <v>1202.5810200000001</v>
      </c>
      <c r="H35" s="75">
        <f t="shared" si="7"/>
        <v>1202.5810200000001</v>
      </c>
      <c r="I35" s="75">
        <f t="shared" si="7"/>
        <v>1202.5810200000001</v>
      </c>
      <c r="J35" s="75">
        <f t="shared" si="7"/>
        <v>0</v>
      </c>
      <c r="K35" s="75">
        <f t="shared" si="7"/>
        <v>0</v>
      </c>
      <c r="L35" s="75">
        <f t="shared" si="7"/>
        <v>0</v>
      </c>
      <c r="M35" s="75">
        <f t="shared" si="7"/>
        <v>0</v>
      </c>
      <c r="N35" s="75">
        <f t="shared" si="7"/>
        <v>0</v>
      </c>
      <c r="O35" s="75">
        <f t="shared" si="7"/>
        <v>0</v>
      </c>
      <c r="P35" s="75">
        <f t="shared" si="7"/>
        <v>1215.4800034322514</v>
      </c>
    </row>
    <row r="36" spans="2:16" ht="13.5" x14ac:dyDescent="0.2">
      <c r="B36" s="85" t="s">
        <v>73</v>
      </c>
      <c r="C36" s="58" t="s">
        <v>82</v>
      </c>
      <c r="D36" s="75">
        <f>IF(D32=0,0,D28*D31)</f>
        <v>182.65671999999998</v>
      </c>
      <c r="E36" s="75">
        <f t="shared" ref="E36:O36" si="8">IF(E32=0,0,E28*E31)</f>
        <v>182.77796000000001</v>
      </c>
      <c r="F36" s="75">
        <f t="shared" si="8"/>
        <v>183.14168000000001</v>
      </c>
      <c r="G36" s="75">
        <f t="shared" si="8"/>
        <v>183.14168000000001</v>
      </c>
      <c r="H36" s="75">
        <f t="shared" si="8"/>
        <v>183.14168000000001</v>
      </c>
      <c r="I36" s="75">
        <f t="shared" si="8"/>
        <v>183.14168000000001</v>
      </c>
      <c r="J36" s="75">
        <f t="shared" si="8"/>
        <v>0</v>
      </c>
      <c r="K36" s="75">
        <f t="shared" si="8"/>
        <v>0</v>
      </c>
      <c r="L36" s="75">
        <f t="shared" si="8"/>
        <v>0</v>
      </c>
      <c r="M36" s="75">
        <f t="shared" si="8"/>
        <v>0</v>
      </c>
      <c r="N36" s="75">
        <f t="shared" si="8"/>
        <v>0</v>
      </c>
      <c r="O36" s="75">
        <f t="shared" si="8"/>
        <v>0</v>
      </c>
      <c r="P36" s="75">
        <f>IF(P32=0,0,P28*P31)</f>
        <v>182.99256005308752</v>
      </c>
    </row>
    <row r="37" spans="2:16" ht="13.5" x14ac:dyDescent="0.2">
      <c r="B37" s="85" t="s">
        <v>74</v>
      </c>
      <c r="C37" s="58" t="s">
        <v>82</v>
      </c>
      <c r="D37" s="75">
        <f>IF(D32=0,0,D29*D31)</f>
        <v>8.3313399999999991</v>
      </c>
      <c r="E37" s="75">
        <f t="shared" ref="E37:O37" si="9">IF(E32=0,0,E29*E31)</f>
        <v>8.3368700000000011</v>
      </c>
      <c r="F37" s="75">
        <f t="shared" si="9"/>
        <v>8.3534600000000001</v>
      </c>
      <c r="G37" s="75">
        <f t="shared" si="9"/>
        <v>8.3534600000000001</v>
      </c>
      <c r="H37" s="75">
        <f t="shared" si="9"/>
        <v>8.3534600000000001</v>
      </c>
      <c r="I37" s="75">
        <f t="shared" si="9"/>
        <v>8.3534600000000001</v>
      </c>
      <c r="J37" s="75">
        <f t="shared" si="9"/>
        <v>0</v>
      </c>
      <c r="K37" s="75">
        <f t="shared" si="9"/>
        <v>0</v>
      </c>
      <c r="L37" s="75">
        <f t="shared" si="9"/>
        <v>0</v>
      </c>
      <c r="M37" s="75">
        <f t="shared" si="9"/>
        <v>0</v>
      </c>
      <c r="N37" s="75">
        <f t="shared" si="9"/>
        <v>0</v>
      </c>
      <c r="O37" s="75">
        <f t="shared" si="9"/>
        <v>0</v>
      </c>
      <c r="P37" s="75">
        <f>IF(P32=0,0,P29*P31)</f>
        <v>8.3466583396038772</v>
      </c>
    </row>
    <row r="38" spans="2:16" ht="25.5" x14ac:dyDescent="0.2">
      <c r="B38" s="86" t="s">
        <v>75</v>
      </c>
      <c r="C38" s="58" t="s">
        <v>82</v>
      </c>
      <c r="D38" s="75">
        <f>D35+D36+D37</f>
        <v>1597.9299199999998</v>
      </c>
      <c r="E38" s="75">
        <f t="shared" ref="E38:O38" si="10">E35+E36+E37</f>
        <v>1350.6784700000003</v>
      </c>
      <c r="F38" s="75">
        <f t="shared" si="10"/>
        <v>1394.0761600000001</v>
      </c>
      <c r="G38" s="75">
        <f t="shared" si="10"/>
        <v>1394.0761600000001</v>
      </c>
      <c r="H38" s="75">
        <f t="shared" si="10"/>
        <v>1394.0761600000001</v>
      </c>
      <c r="I38" s="75">
        <f t="shared" si="10"/>
        <v>1394.0761600000001</v>
      </c>
      <c r="J38" s="75">
        <f t="shared" si="10"/>
        <v>0</v>
      </c>
      <c r="K38" s="75">
        <f t="shared" si="10"/>
        <v>0</v>
      </c>
      <c r="L38" s="75">
        <f t="shared" si="10"/>
        <v>0</v>
      </c>
      <c r="M38" s="75">
        <f t="shared" si="10"/>
        <v>0</v>
      </c>
      <c r="N38" s="75">
        <f t="shared" si="10"/>
        <v>0</v>
      </c>
      <c r="O38" s="75">
        <f t="shared" si="10"/>
        <v>0</v>
      </c>
      <c r="P38" s="75">
        <f>P35+P36+P37</f>
        <v>1406.8192218249428</v>
      </c>
    </row>
    <row r="39" spans="2:16" ht="15" x14ac:dyDescent="0.2">
      <c r="B39" s="57" t="s">
        <v>83</v>
      </c>
      <c r="C39" s="67" t="s">
        <v>84</v>
      </c>
      <c r="D39" s="60">
        <f>D32*D38/1000</f>
        <v>9.5028892342399995</v>
      </c>
      <c r="E39" s="60">
        <f t="shared" ref="E39:O39" si="11">E32*E38/1000</f>
        <v>17.52910518366</v>
      </c>
      <c r="F39" s="60">
        <f t="shared" si="11"/>
        <v>11.15260928</v>
      </c>
      <c r="G39" s="60">
        <f t="shared" si="11"/>
        <v>13.940761600000002</v>
      </c>
      <c r="H39" s="60">
        <f t="shared" si="11"/>
        <v>13.940761600000002</v>
      </c>
      <c r="I39" s="60">
        <f t="shared" si="11"/>
        <v>11.15260928</v>
      </c>
      <c r="J39" s="60">
        <f t="shared" si="11"/>
        <v>0</v>
      </c>
      <c r="K39" s="60">
        <f t="shared" si="11"/>
        <v>0</v>
      </c>
      <c r="L39" s="60">
        <f t="shared" si="11"/>
        <v>0</v>
      </c>
      <c r="M39" s="60">
        <f t="shared" si="11"/>
        <v>0</v>
      </c>
      <c r="N39" s="60">
        <f t="shared" si="11"/>
        <v>0</v>
      </c>
      <c r="O39" s="60">
        <f t="shared" si="11"/>
        <v>0</v>
      </c>
      <c r="P39" s="90">
        <f>SUM(D39:O39)</f>
        <v>77.218736177900013</v>
      </c>
    </row>
    <row r="40" spans="2:16" ht="15" x14ac:dyDescent="0.2">
      <c r="B40" s="77"/>
      <c r="C40" s="81"/>
      <c r="D40" s="82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4"/>
    </row>
    <row r="41" spans="2:16" x14ac:dyDescent="0.2">
      <c r="J41" s="68"/>
    </row>
    <row r="42" spans="2:16" x14ac:dyDescent="0.2">
      <c r="C42" s="54" t="s">
        <v>86</v>
      </c>
      <c r="D42" s="69" t="s">
        <v>87</v>
      </c>
      <c r="E42" s="70"/>
    </row>
    <row r="43" spans="2:16" ht="15" x14ac:dyDescent="0.2">
      <c r="B43" s="85" t="s">
        <v>32</v>
      </c>
      <c r="C43" s="58" t="s">
        <v>70</v>
      </c>
      <c r="D43" s="129">
        <f>SUM(J7:O7)+SUM(D26:I26)</f>
        <v>1097.5188790000002</v>
      </c>
      <c r="E43" s="130"/>
    </row>
    <row r="44" spans="2:16" x14ac:dyDescent="0.2">
      <c r="B44" s="85" t="s">
        <v>71</v>
      </c>
      <c r="C44" s="58" t="s">
        <v>72</v>
      </c>
      <c r="D44" s="131">
        <f>IF(D43=0,0,(SUMPRODUCT(J7:O7,J8:O8)+SUMPRODUCT(D26:I26,D27:I27))/D43)</f>
        <v>97.602841835680152</v>
      </c>
      <c r="E44" s="132"/>
    </row>
    <row r="45" spans="2:16" x14ac:dyDescent="0.2">
      <c r="B45" s="85" t="s">
        <v>73</v>
      </c>
      <c r="C45" s="58" t="s">
        <v>72</v>
      </c>
      <c r="D45" s="131">
        <f>IF(D43=0,0,(SUMPRODUCT(J7:O7,J9:O9)+SUMPRODUCT(D26:I26,D28:I28))/D43)</f>
        <v>17.319999999999993</v>
      </c>
      <c r="E45" s="132"/>
    </row>
    <row r="46" spans="2:16" x14ac:dyDescent="0.2">
      <c r="B46" s="85" t="s">
        <v>74</v>
      </c>
      <c r="C46" s="58" t="s">
        <v>72</v>
      </c>
      <c r="D46" s="131">
        <f>IF(D44=0,0,(SUMPRODUCT(J7:O7,J10:O10)+SUMPRODUCT(D26:I26,D29:I29))/D43)</f>
        <v>0.78999999999999981</v>
      </c>
      <c r="E46" s="132"/>
    </row>
    <row r="47" spans="2:16" ht="25.5" x14ac:dyDescent="0.2">
      <c r="B47" s="86" t="s">
        <v>75</v>
      </c>
      <c r="C47" s="58" t="s">
        <v>72</v>
      </c>
      <c r="D47" s="133">
        <f>D44+D45+D46</f>
        <v>115.71284183568015</v>
      </c>
      <c r="E47" s="134"/>
    </row>
    <row r="48" spans="2:16" ht="25.5" x14ac:dyDescent="0.2">
      <c r="B48" s="85" t="s">
        <v>76</v>
      </c>
      <c r="C48" s="58" t="s">
        <v>77</v>
      </c>
      <c r="D48" s="138">
        <f>IF(D43=0,0,(SUMPRODUCT(J7:O7,J12:O12)+SUMPRODUCT(D26:I26,D31:I31))/D43)</f>
        <v>10.558556605381179</v>
      </c>
      <c r="E48" s="139"/>
    </row>
    <row r="49" spans="2:16" ht="15" x14ac:dyDescent="0.2">
      <c r="B49" s="85" t="s">
        <v>32</v>
      </c>
      <c r="C49" s="58" t="s">
        <v>78</v>
      </c>
      <c r="D49" s="129">
        <f>SUM(J13:O13)+SUM(D32:I32)</f>
        <v>107.97800000000001</v>
      </c>
      <c r="E49" s="130"/>
    </row>
    <row r="50" spans="2:16" ht="15" x14ac:dyDescent="0.2">
      <c r="B50" s="57" t="s">
        <v>79</v>
      </c>
      <c r="C50" s="58" t="s">
        <v>80</v>
      </c>
      <c r="D50" s="129">
        <f>IF(D49=0,0,(J13*J14+K13*K14+L13*L14+M13*M14+N13*N14+O13*O14+D32*D33+E32*E33+F32*F33+G32*G33+H32*H33+I32*I33)/D49)</f>
        <v>8155.5340532330647</v>
      </c>
      <c r="E50" s="130"/>
      <c r="H50" s="76"/>
    </row>
    <row r="51" spans="2:16" ht="15" x14ac:dyDescent="0.2">
      <c r="B51" s="57" t="s">
        <v>81</v>
      </c>
      <c r="C51" s="58" t="s">
        <v>80</v>
      </c>
      <c r="D51" s="129">
        <f>IF(D49=0,0,(J13*J15+K13*K15+L13*L15+M13*M15+N13*N15+O13*O15+D32*D34+E32*E34+F32*F34+G32*G34+H32*H34+I32*I34)/D49)</f>
        <v>9046.9706236455568</v>
      </c>
      <c r="E51" s="130"/>
    </row>
    <row r="52" spans="2:16" ht="15" x14ac:dyDescent="0.2">
      <c r="B52" s="57" t="s">
        <v>71</v>
      </c>
      <c r="C52" s="58" t="s">
        <v>82</v>
      </c>
      <c r="D52" s="137">
        <f>IF(D49=0,0,D44*D48)</f>
        <v>1030.5451303680952</v>
      </c>
      <c r="E52" s="137"/>
    </row>
    <row r="53" spans="2:16" ht="15" x14ac:dyDescent="0.2">
      <c r="B53" s="85" t="s">
        <v>73</v>
      </c>
      <c r="C53" s="58" t="s">
        <v>72</v>
      </c>
      <c r="D53" s="142">
        <f>IF(D49=0,0,D45*D48)</f>
        <v>182.87420040520195</v>
      </c>
      <c r="E53" s="134"/>
    </row>
    <row r="54" spans="2:16" ht="15" x14ac:dyDescent="0.2">
      <c r="B54" s="85" t="s">
        <v>74</v>
      </c>
      <c r="C54" s="58" t="s">
        <v>72</v>
      </c>
      <c r="D54" s="142">
        <f>IF(D49=0,0,D46*D48)</f>
        <v>8.3412597182511288</v>
      </c>
      <c r="E54" s="134"/>
    </row>
    <row r="55" spans="2:16" ht="25.5" x14ac:dyDescent="0.2">
      <c r="B55" s="86" t="s">
        <v>75</v>
      </c>
      <c r="C55" s="58" t="s">
        <v>72</v>
      </c>
      <c r="D55" s="142">
        <f>D52+D53+D54</f>
        <v>1221.7605904915483</v>
      </c>
      <c r="E55" s="134"/>
    </row>
    <row r="56" spans="2:16" ht="15" x14ac:dyDescent="0.2">
      <c r="B56" s="57" t="s">
        <v>88</v>
      </c>
      <c r="C56" s="67" t="s">
        <v>84</v>
      </c>
      <c r="D56" s="129">
        <f>SUM(J20:O20)+SUM(D39:I39)</f>
        <v>55479.397795037898</v>
      </c>
      <c r="E56" s="129"/>
    </row>
    <row r="57" spans="2:16" x14ac:dyDescent="0.2">
      <c r="B57" s="140" t="s">
        <v>89</v>
      </c>
      <c r="C57" s="141"/>
      <c r="D57" s="141"/>
      <c r="I57" s="27" t="s">
        <v>24</v>
      </c>
      <c r="O57" s="15" t="s">
        <v>25</v>
      </c>
    </row>
    <row r="58" spans="2:16" x14ac:dyDescent="0.2">
      <c r="J58" s="29" t="s">
        <v>92</v>
      </c>
      <c r="O58" s="17" t="s">
        <v>26</v>
      </c>
      <c r="P58" s="29" t="s">
        <v>93</v>
      </c>
    </row>
  </sheetData>
  <mergeCells count="18">
    <mergeCell ref="D52:E52"/>
    <mergeCell ref="D43:E43"/>
    <mergeCell ref="D44:E44"/>
    <mergeCell ref="D48:E48"/>
    <mergeCell ref="B57:D57"/>
    <mergeCell ref="D56:E56"/>
    <mergeCell ref="D53:E53"/>
    <mergeCell ref="D54:E54"/>
    <mergeCell ref="D55:E55"/>
    <mergeCell ref="D5:P5"/>
    <mergeCell ref="D24:P24"/>
    <mergeCell ref="D49:E49"/>
    <mergeCell ref="D50:E50"/>
    <mergeCell ref="D51:E51"/>
    <mergeCell ref="D45:E45"/>
    <mergeCell ref="D46:E46"/>
    <mergeCell ref="D47:E47"/>
    <mergeCell ref="C22:O22"/>
  </mergeCells>
  <pageMargins left="0.70866141732283472" right="0.11811023622047245" top="0" bottom="0" header="0.31496062992125984" footer="0.31496062992125984"/>
  <pageSetup paperSize="9" orientation="landscape" r:id="rId1"/>
  <ignoredErrors>
    <ignoredError sqref="D49" formulaRange="1"/>
    <ignoredError sqref="D25:O25 D6:O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6</vt:i4>
      </vt:variant>
    </vt:vector>
  </HeadingPairs>
  <TitlesOfParts>
    <vt:vector size="6" baseType="lpstr">
      <vt:lpstr>GOR2021-2022 </vt:lpstr>
      <vt:lpstr>GOR2022-2023</vt:lpstr>
      <vt:lpstr>Твърди горива 2022-2023</vt:lpstr>
      <vt:lpstr>Твърди горива 2021-2022 </vt:lpstr>
      <vt:lpstr>Течни горива</vt:lpstr>
      <vt:lpstr>Природен газ</vt:lpstr>
    </vt:vector>
  </TitlesOfParts>
  <Company>ocz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</dc:creator>
  <cp:lastModifiedBy>Невянка Добрева</cp:lastModifiedBy>
  <cp:revision/>
  <cp:lastPrinted>2022-03-30T07:11:01Z</cp:lastPrinted>
  <dcterms:created xsi:type="dcterms:W3CDTF">2004-07-15T11:50:49Z</dcterms:created>
  <dcterms:modified xsi:type="dcterms:W3CDTF">2022-03-31T05:50:33Z</dcterms:modified>
</cp:coreProperties>
</file>